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tables/table3.xml" ContentType="application/vnd.openxmlformats-officedocument.spreadsheetml.table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enan\OneDrive\Desktop\PE 90008.2026 - Monitor Alunos\"/>
    </mc:Choice>
  </mc:AlternateContent>
  <xr:revisionPtr revIDLastSave="0" documentId="13_ncr:1_{FA6DA1E7-4509-478E-A616-2F1DFF0EE8D1}" xr6:coauthVersionLast="47" xr6:coauthVersionMax="47" xr10:uidLastSave="{00000000-0000-0000-0000-000000000000}"/>
  <bookViews>
    <workbookView xWindow="-110" yWindow="-110" windowWidth="25820" windowHeight="15500" firstSheet="10" activeTab="12" xr2:uid="{00000000-000D-0000-FFFF-FFFF00000000}"/>
  </bookViews>
  <sheets>
    <sheet name="0-INICIO" sheetId="1" r:id="rId1"/>
    <sheet name="CAMPUS.CONTRATANTE" sheetId="2" r:id="rId2"/>
    <sheet name="DADOS-CADASTRAIS" sheetId="3" r:id="rId3"/>
    <sheet name="1-ABA-DE-CARREGAMENTO" sheetId="4" r:id="rId4"/>
    <sheet name="PROPOSTA DO SERVIÇO" sheetId="5" r:id="rId5"/>
    <sheet name="Uniformes - EPIs_TODOS" sheetId="6" r:id="rId6"/>
    <sheet name="5162_20_CUIDADOR-de-ALUNOS_40h" sheetId="7" r:id="rId7"/>
    <sheet name="5162_20_CUIDADOR-de-ALUNOS_20h" sheetId="8" r:id="rId8"/>
    <sheet name="3341-05_INSTRUTOR-de-ALUNOS_40h" sheetId="9" r:id="rId9"/>
    <sheet name="3341-05_INSTRUTOR-de-ALUNOS_20h" sheetId="10" r:id="rId10"/>
    <sheet name="2394-25_PSICOPEGAGOGO_40h" sheetId="11" r:id="rId11"/>
    <sheet name="2394-25_PSICOPEGAGOGO_20h" sheetId="12" r:id="rId12"/>
    <sheet name="3341-10_MONITOR-de-ALUNOS_40h" sheetId="13" r:id="rId13"/>
    <sheet name="Estimativa_Horas_Diarias" sheetId="14" state="hidden" r:id="rId14"/>
    <sheet name="TOTALIZADORES_IFFar" sheetId="15" state="hidden" r:id="rId15"/>
    <sheet name="Insumos_Base" sheetId="16" state="hidden" r:id="rId16"/>
    <sheet name="A NAO TEM MAIS POSTO 66" sheetId="17" state="hidden" r:id="rId17"/>
    <sheet name="A NAO TEM MAIS POSTO 771" sheetId="18" state="hidden" r:id="rId18"/>
    <sheet name="A NAO TEM MAIS POSTO 77" sheetId="19" state="hidden" r:id="rId19"/>
    <sheet name="A NÃO TEM MAIS POSTOS-88" sheetId="20" state="hidden" r:id="rId20"/>
    <sheet name="A NÃO TEM MAIS POSTOS-99" sheetId="21" state="hidden" r:id="rId21"/>
  </sheets>
  <definedNames>
    <definedName name="_xlnm._FilterDatabase" localSheetId="14" hidden="1">TOTALIZADORES_IFFar!$A$6:$AA$378</definedName>
    <definedName name="_xlnm.Print_Area" localSheetId="0">'0-INICIO'!$A$1:$Q$17</definedName>
    <definedName name="_xlnm.Print_Area" localSheetId="3">'1-ABA-DE-CARREGAMENTO'!$A$1:$J$97</definedName>
    <definedName name="_xlnm.Print_Area" localSheetId="1">'CAMPUS.CONTRATANTE'!$A$1:$HC$56</definedName>
    <definedName name="_xlnm.Print_Area" localSheetId="2">'DADOS-CADASTRAIS'!$A$1:$W$16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6" i="21" l="1"/>
  <c r="H206" i="21"/>
  <c r="H205" i="21"/>
  <c r="I205" i="21" s="1"/>
  <c r="H204" i="21"/>
  <c r="I204" i="21" s="1"/>
  <c r="H202" i="21"/>
  <c r="I202" i="21" s="1"/>
  <c r="H201" i="21"/>
  <c r="J192" i="21"/>
  <c r="I171" i="21"/>
  <c r="I170" i="21"/>
  <c r="I166" i="21"/>
  <c r="I164" i="21"/>
  <c r="J157" i="21"/>
  <c r="J149" i="21"/>
  <c r="I49" i="21"/>
  <c r="I48" i="21"/>
  <c r="I40" i="21"/>
  <c r="I9" i="21"/>
  <c r="I8" i="21"/>
  <c r="B6" i="21"/>
  <c r="G5" i="21"/>
  <c r="G4" i="21"/>
  <c r="H206" i="20"/>
  <c r="I206" i="20" s="1"/>
  <c r="I205" i="20"/>
  <c r="H205" i="20"/>
  <c r="I204" i="20"/>
  <c r="H204" i="20"/>
  <c r="I202" i="20"/>
  <c r="H202" i="20"/>
  <c r="I201" i="20"/>
  <c r="H201" i="20"/>
  <c r="I171" i="20"/>
  <c r="I170" i="20"/>
  <c r="I166" i="20"/>
  <c r="I164" i="20"/>
  <c r="J157" i="20"/>
  <c r="J192" i="20" s="1"/>
  <c r="J149" i="20"/>
  <c r="I49" i="20"/>
  <c r="I48" i="20"/>
  <c r="I40" i="20"/>
  <c r="I9" i="20"/>
  <c r="I8" i="20"/>
  <c r="B6" i="20"/>
  <c r="G5" i="20"/>
  <c r="G4" i="20"/>
  <c r="H206" i="19"/>
  <c r="I206" i="19" s="1"/>
  <c r="H205" i="19"/>
  <c r="I205" i="19" s="1"/>
  <c r="H204" i="19"/>
  <c r="I204" i="19" s="1"/>
  <c r="H202" i="19"/>
  <c r="I202" i="19" s="1"/>
  <c r="H201" i="19"/>
  <c r="I171" i="19"/>
  <c r="I170" i="19"/>
  <c r="I166" i="19"/>
  <c r="I164" i="19"/>
  <c r="J157" i="19"/>
  <c r="J192" i="19" s="1"/>
  <c r="J149" i="19"/>
  <c r="I49" i="19"/>
  <c r="I48" i="19"/>
  <c r="I40" i="19"/>
  <c r="I9" i="19"/>
  <c r="I8" i="19"/>
  <c r="B6" i="19"/>
  <c r="G5" i="19"/>
  <c r="G4" i="19"/>
  <c r="H241" i="18"/>
  <c r="B227" i="18"/>
  <c r="G226" i="18"/>
  <c r="B226" i="18"/>
  <c r="B225" i="18"/>
  <c r="B224" i="18"/>
  <c r="B223" i="18"/>
  <c r="B222" i="18"/>
  <c r="I207" i="18"/>
  <c r="H207" i="18"/>
  <c r="I206" i="18"/>
  <c r="H206" i="18"/>
  <c r="I205" i="18"/>
  <c r="H205" i="18"/>
  <c r="I203" i="18"/>
  <c r="H203" i="18"/>
  <c r="H202" i="18"/>
  <c r="I202" i="18" s="1"/>
  <c r="J193" i="18"/>
  <c r="I172" i="18"/>
  <c r="I171" i="18"/>
  <c r="I167" i="18"/>
  <c r="I165" i="18"/>
  <c r="J158" i="18"/>
  <c r="J150" i="18"/>
  <c r="I105" i="18"/>
  <c r="I101" i="18"/>
  <c r="G98" i="18"/>
  <c r="G97" i="18"/>
  <c r="G55" i="18"/>
  <c r="G54" i="18"/>
  <c r="G53" i="18"/>
  <c r="G52" i="18"/>
  <c r="G51" i="18"/>
  <c r="I49" i="18"/>
  <c r="I48" i="18"/>
  <c r="I40" i="18"/>
  <c r="G204" i="18" s="1"/>
  <c r="I9" i="18"/>
  <c r="I8" i="18"/>
  <c r="B6" i="18"/>
  <c r="G5" i="18"/>
  <c r="G4" i="18"/>
  <c r="H240" i="17"/>
  <c r="B226" i="17"/>
  <c r="B225" i="17"/>
  <c r="B224" i="17"/>
  <c r="B223" i="17"/>
  <c r="B222" i="17"/>
  <c r="B221" i="17"/>
  <c r="I206" i="17"/>
  <c r="H206" i="17"/>
  <c r="I205" i="17"/>
  <c r="H205" i="17"/>
  <c r="H204" i="17"/>
  <c r="I204" i="17" s="1"/>
  <c r="G203" i="17"/>
  <c r="I202" i="17"/>
  <c r="H202" i="17"/>
  <c r="H201" i="17"/>
  <c r="I201" i="17" s="1"/>
  <c r="J192" i="17"/>
  <c r="I171" i="17"/>
  <c r="I170" i="17"/>
  <c r="I166" i="17"/>
  <c r="I164" i="17"/>
  <c r="J157" i="17"/>
  <c r="G225" i="17" s="1"/>
  <c r="J149" i="17"/>
  <c r="I49" i="17"/>
  <c r="I48" i="17"/>
  <c r="I40" i="17"/>
  <c r="I9" i="17"/>
  <c r="I8" i="17"/>
  <c r="B6" i="17"/>
  <c r="G5" i="17"/>
  <c r="G4" i="17"/>
  <c r="B19" i="16"/>
  <c r="B18" i="16"/>
  <c r="B17" i="16"/>
  <c r="H400" i="15"/>
  <c r="F400" i="15"/>
  <c r="E400" i="15"/>
  <c r="D400" i="15"/>
  <c r="H399" i="15"/>
  <c r="I400" i="15" s="1"/>
  <c r="F399" i="15"/>
  <c r="D399" i="15"/>
  <c r="H398" i="15"/>
  <c r="F398" i="15"/>
  <c r="D398" i="15"/>
  <c r="H397" i="15"/>
  <c r="F397" i="15"/>
  <c r="D397" i="15"/>
  <c r="C380" i="15" a="1"/>
  <c r="C396" i="15" s="1"/>
  <c r="C355" i="15" a="1"/>
  <c r="C371" i="15" s="1"/>
  <c r="F371" i="15" s="1"/>
  <c r="H349" i="15"/>
  <c r="J349" i="15" s="1"/>
  <c r="H348" i="15"/>
  <c r="N347" i="15"/>
  <c r="J347" i="15"/>
  <c r="H347" i="15"/>
  <c r="N346" i="15"/>
  <c r="J346" i="15"/>
  <c r="H346" i="15"/>
  <c r="H345" i="15"/>
  <c r="J344" i="15"/>
  <c r="H344" i="15"/>
  <c r="I343" i="15"/>
  <c r="H343" i="15"/>
  <c r="J343" i="15" s="1"/>
  <c r="H342" i="15"/>
  <c r="J342" i="15" s="1"/>
  <c r="N342" i="15" s="1"/>
  <c r="H341" i="15"/>
  <c r="J341" i="15" s="1"/>
  <c r="B341" i="15"/>
  <c r="J340" i="15"/>
  <c r="N340" i="15" s="1"/>
  <c r="I340" i="15"/>
  <c r="H340" i="15"/>
  <c r="B340" i="15"/>
  <c r="J339" i="15"/>
  <c r="H339" i="15"/>
  <c r="H338" i="15"/>
  <c r="J338" i="15" s="1"/>
  <c r="H337" i="15"/>
  <c r="J337" i="15" s="1"/>
  <c r="N336" i="15"/>
  <c r="J336" i="15"/>
  <c r="H336" i="15"/>
  <c r="B336" i="15"/>
  <c r="B337" i="15" s="1"/>
  <c r="J335" i="15"/>
  <c r="H335" i="15"/>
  <c r="I337" i="15" s="1"/>
  <c r="B335" i="15"/>
  <c r="B338" i="15" s="1"/>
  <c r="B339" i="15" s="1"/>
  <c r="J334" i="15"/>
  <c r="H334" i="15"/>
  <c r="B334" i="15"/>
  <c r="N333" i="15"/>
  <c r="H333" i="15"/>
  <c r="J333" i="15" s="1"/>
  <c r="H332" i="15"/>
  <c r="B332" i="15"/>
  <c r="B333" i="15" s="1"/>
  <c r="H331" i="15"/>
  <c r="J331" i="15" s="1"/>
  <c r="N331" i="15" s="1"/>
  <c r="B331" i="15"/>
  <c r="N330" i="15"/>
  <c r="H330" i="15"/>
  <c r="J330" i="15" s="1"/>
  <c r="B330" i="15"/>
  <c r="H329" i="15"/>
  <c r="B329" i="15"/>
  <c r="O326" i="15"/>
  <c r="N326" i="15"/>
  <c r="I326" i="15"/>
  <c r="H326" i="15"/>
  <c r="J326" i="15" s="1"/>
  <c r="J325" i="15"/>
  <c r="H325" i="15"/>
  <c r="N324" i="15"/>
  <c r="H324" i="15"/>
  <c r="J324" i="15" s="1"/>
  <c r="O323" i="15"/>
  <c r="N323" i="15"/>
  <c r="J323" i="15"/>
  <c r="K323" i="15" s="1"/>
  <c r="I323" i="15"/>
  <c r="H323" i="15"/>
  <c r="N322" i="15"/>
  <c r="H322" i="15"/>
  <c r="J322" i="15" s="1"/>
  <c r="H321" i="15"/>
  <c r="J321" i="15" s="1"/>
  <c r="N320" i="15"/>
  <c r="H320" i="15"/>
  <c r="J320" i="15" s="1"/>
  <c r="H319" i="15"/>
  <c r="J319" i="15" s="1"/>
  <c r="H318" i="15"/>
  <c r="H317" i="15"/>
  <c r="J317" i="15" s="1"/>
  <c r="H316" i="15"/>
  <c r="J316" i="15" s="1"/>
  <c r="J315" i="15"/>
  <c r="H315" i="15"/>
  <c r="J314" i="15"/>
  <c r="H314" i="15"/>
  <c r="J313" i="15"/>
  <c r="H313" i="15"/>
  <c r="I314" i="15" s="1"/>
  <c r="H312" i="15"/>
  <c r="J312" i="15" s="1"/>
  <c r="J311" i="15"/>
  <c r="N311" i="15" s="1"/>
  <c r="I311" i="15"/>
  <c r="H311" i="15"/>
  <c r="H310" i="15"/>
  <c r="J310" i="15" s="1"/>
  <c r="H309" i="15"/>
  <c r="J309" i="15" s="1"/>
  <c r="I308" i="15"/>
  <c r="H308" i="15"/>
  <c r="J308" i="15" s="1"/>
  <c r="N308" i="15" s="1"/>
  <c r="L307" i="15"/>
  <c r="J307" i="15"/>
  <c r="H307" i="15"/>
  <c r="N306" i="15"/>
  <c r="H306" i="15"/>
  <c r="J306" i="15" s="1"/>
  <c r="B306" i="15"/>
  <c r="K303" i="15"/>
  <c r="J303" i="15"/>
  <c r="I303" i="15"/>
  <c r="H303" i="15"/>
  <c r="J302" i="15"/>
  <c r="N302" i="15" s="1"/>
  <c r="H302" i="15"/>
  <c r="H301" i="15"/>
  <c r="J301" i="15" s="1"/>
  <c r="N300" i="15"/>
  <c r="K300" i="15"/>
  <c r="I300" i="15"/>
  <c r="H300" i="15"/>
  <c r="J300" i="15" s="1"/>
  <c r="J299" i="15"/>
  <c r="N299" i="15" s="1"/>
  <c r="H299" i="15"/>
  <c r="H298" i="15"/>
  <c r="J298" i="15" s="1"/>
  <c r="I297" i="15"/>
  <c r="H297" i="15"/>
  <c r="J297" i="15" s="1"/>
  <c r="N297" i="15" s="1"/>
  <c r="H296" i="15"/>
  <c r="J296" i="15" s="1"/>
  <c r="J295" i="15"/>
  <c r="H295" i="15"/>
  <c r="O294" i="15"/>
  <c r="J294" i="15"/>
  <c r="I294" i="15"/>
  <c r="H294" i="15"/>
  <c r="N293" i="15"/>
  <c r="L293" i="15"/>
  <c r="M293" i="15" s="1"/>
  <c r="J293" i="15"/>
  <c r="H293" i="15"/>
  <c r="H292" i="15"/>
  <c r="J292" i="15" s="1"/>
  <c r="N292" i="15" s="1"/>
  <c r="I291" i="15"/>
  <c r="H291" i="15"/>
  <c r="J291" i="15" s="1"/>
  <c r="P290" i="15"/>
  <c r="M290" i="15"/>
  <c r="J290" i="15"/>
  <c r="N290" i="15" s="1"/>
  <c r="H290" i="15"/>
  <c r="H289" i="15"/>
  <c r="J289" i="15" s="1"/>
  <c r="B289" i="15"/>
  <c r="I288" i="15"/>
  <c r="H288" i="15"/>
  <c r="J288" i="15" s="1"/>
  <c r="M287" i="15"/>
  <c r="J287" i="15"/>
  <c r="N287" i="15" s="1"/>
  <c r="H287" i="15"/>
  <c r="H286" i="15"/>
  <c r="J286" i="15" s="1"/>
  <c r="B286" i="15"/>
  <c r="B287" i="15" s="1"/>
  <c r="B288" i="15" s="1"/>
  <c r="J285" i="15"/>
  <c r="I285" i="15"/>
  <c r="H285" i="15"/>
  <c r="B285" i="15"/>
  <c r="M284" i="15"/>
  <c r="L284" i="15"/>
  <c r="L287" i="15" s="1"/>
  <c r="L290" i="15" s="1"/>
  <c r="H284" i="15"/>
  <c r="J284" i="15" s="1"/>
  <c r="B284" i="15"/>
  <c r="J283" i="15"/>
  <c r="H283" i="15"/>
  <c r="B283" i="15"/>
  <c r="N280" i="15"/>
  <c r="J280" i="15"/>
  <c r="I280" i="15"/>
  <c r="H280" i="15"/>
  <c r="J279" i="15"/>
  <c r="H279" i="15"/>
  <c r="N278" i="15"/>
  <c r="H278" i="15"/>
  <c r="J278" i="15" s="1"/>
  <c r="J277" i="15"/>
  <c r="I277" i="15"/>
  <c r="H277" i="15"/>
  <c r="N276" i="15"/>
  <c r="J276" i="15"/>
  <c r="H276" i="15"/>
  <c r="H275" i="15"/>
  <c r="J275" i="15" s="1"/>
  <c r="K274" i="15"/>
  <c r="I274" i="15"/>
  <c r="H274" i="15"/>
  <c r="J274" i="15" s="1"/>
  <c r="N273" i="15"/>
  <c r="J273" i="15"/>
  <c r="H273" i="15"/>
  <c r="N272" i="15"/>
  <c r="J272" i="15"/>
  <c r="O274" i="15" s="1"/>
  <c r="H272" i="15"/>
  <c r="J271" i="15"/>
  <c r="I271" i="15"/>
  <c r="H271" i="15"/>
  <c r="J270" i="15"/>
  <c r="H270" i="15"/>
  <c r="J269" i="15"/>
  <c r="N269" i="15" s="1"/>
  <c r="H269" i="15"/>
  <c r="N268" i="15"/>
  <c r="J268" i="15"/>
  <c r="I268" i="15"/>
  <c r="H268" i="15"/>
  <c r="H267" i="15"/>
  <c r="J267" i="15" s="1"/>
  <c r="N266" i="15"/>
  <c r="J266" i="15"/>
  <c r="H266" i="15"/>
  <c r="B266" i="15"/>
  <c r="B267" i="15" s="1"/>
  <c r="B268" i="15" s="1"/>
  <c r="J265" i="15"/>
  <c r="I265" i="15"/>
  <c r="H265" i="15"/>
  <c r="B265" i="15"/>
  <c r="J264" i="15"/>
  <c r="H264" i="15"/>
  <c r="H263" i="15"/>
  <c r="J263" i="15" s="1"/>
  <c r="H262" i="15"/>
  <c r="B262" i="15"/>
  <c r="N261" i="15"/>
  <c r="J261" i="15"/>
  <c r="H261" i="15"/>
  <c r="B261" i="15"/>
  <c r="N260" i="15"/>
  <c r="J260" i="15"/>
  <c r="H260" i="15"/>
  <c r="B260" i="15"/>
  <c r="B263" i="15" s="1"/>
  <c r="B264" i="15" s="1"/>
  <c r="J257" i="15"/>
  <c r="I257" i="15"/>
  <c r="H257" i="15"/>
  <c r="N256" i="15"/>
  <c r="H256" i="15"/>
  <c r="J256" i="15" s="1"/>
  <c r="J255" i="15"/>
  <c r="H255" i="15"/>
  <c r="N254" i="15"/>
  <c r="J254" i="15"/>
  <c r="I254" i="15"/>
  <c r="H254" i="15"/>
  <c r="H253" i="15"/>
  <c r="J253" i="15" s="1"/>
  <c r="N253" i="15" s="1"/>
  <c r="J252" i="15"/>
  <c r="H252" i="15"/>
  <c r="I251" i="15"/>
  <c r="H251" i="15"/>
  <c r="J251" i="15" s="1"/>
  <c r="N251" i="15" s="1"/>
  <c r="J250" i="15"/>
  <c r="H250" i="15"/>
  <c r="J249" i="15"/>
  <c r="H249" i="15"/>
  <c r="J248" i="15"/>
  <c r="I248" i="15"/>
  <c r="H248" i="15"/>
  <c r="H247" i="15"/>
  <c r="J247" i="15" s="1"/>
  <c r="H246" i="15"/>
  <c r="J246" i="15" s="1"/>
  <c r="H245" i="15"/>
  <c r="L244" i="15"/>
  <c r="L247" i="15" s="1"/>
  <c r="L250" i="15" s="1"/>
  <c r="H244" i="15"/>
  <c r="J244" i="15" s="1"/>
  <c r="J243" i="15"/>
  <c r="H243" i="15"/>
  <c r="I242" i="15"/>
  <c r="H242" i="15"/>
  <c r="J242" i="15" s="1"/>
  <c r="N241" i="15"/>
  <c r="J241" i="15"/>
  <c r="P241" i="15" s="1"/>
  <c r="H241" i="15"/>
  <c r="N240" i="15"/>
  <c r="J240" i="15"/>
  <c r="H240" i="15"/>
  <c r="B240" i="15"/>
  <c r="K239" i="15"/>
  <c r="J239" i="15"/>
  <c r="H239" i="15"/>
  <c r="P238" i="15"/>
  <c r="L238" i="15"/>
  <c r="L241" i="15" s="1"/>
  <c r="M241" i="15" s="1"/>
  <c r="J238" i="15"/>
  <c r="N238" i="15" s="1"/>
  <c r="H238" i="15"/>
  <c r="B238" i="15"/>
  <c r="B239" i="15" s="1"/>
  <c r="N237" i="15"/>
  <c r="J237" i="15"/>
  <c r="H237" i="15"/>
  <c r="B237" i="15"/>
  <c r="O234" i="15"/>
  <c r="I234" i="15"/>
  <c r="H234" i="15"/>
  <c r="J234" i="15" s="1"/>
  <c r="J233" i="15"/>
  <c r="N233" i="15" s="1"/>
  <c r="H233" i="15"/>
  <c r="N232" i="15"/>
  <c r="H232" i="15"/>
  <c r="J232" i="15" s="1"/>
  <c r="I231" i="15"/>
  <c r="H231" i="15"/>
  <c r="J231" i="15" s="1"/>
  <c r="N231" i="15" s="1"/>
  <c r="H230" i="15"/>
  <c r="J230" i="15" s="1"/>
  <c r="N229" i="15"/>
  <c r="H229" i="15"/>
  <c r="J229" i="15" s="1"/>
  <c r="O231" i="15" s="1"/>
  <c r="N228" i="15"/>
  <c r="J228" i="15"/>
  <c r="I228" i="15"/>
  <c r="H228" i="15"/>
  <c r="N227" i="15"/>
  <c r="J227" i="15"/>
  <c r="H227" i="15"/>
  <c r="H226" i="15"/>
  <c r="J226" i="15" s="1"/>
  <c r="J225" i="15"/>
  <c r="H225" i="15"/>
  <c r="I225" i="15" s="1"/>
  <c r="N224" i="15"/>
  <c r="J224" i="15"/>
  <c r="H224" i="15"/>
  <c r="H223" i="15"/>
  <c r="J223" i="15" s="1"/>
  <c r="J222" i="15"/>
  <c r="N222" i="15" s="1"/>
  <c r="H222" i="15"/>
  <c r="H221" i="15"/>
  <c r="J220" i="15"/>
  <c r="H220" i="15"/>
  <c r="N219" i="15"/>
  <c r="J219" i="15"/>
  <c r="I219" i="15"/>
  <c r="H219" i="15"/>
  <c r="J218" i="15"/>
  <c r="H218" i="15"/>
  <c r="N217" i="15"/>
  <c r="J217" i="15"/>
  <c r="H217" i="15"/>
  <c r="B217" i="15"/>
  <c r="B218" i="15" s="1"/>
  <c r="B219" i="15" s="1"/>
  <c r="N216" i="15"/>
  <c r="H216" i="15"/>
  <c r="J216" i="15" s="1"/>
  <c r="N215" i="15"/>
  <c r="M215" i="15"/>
  <c r="L215" i="15"/>
  <c r="J215" i="15"/>
  <c r="H215" i="15"/>
  <c r="H214" i="15"/>
  <c r="B214" i="15"/>
  <c r="B215" i="15" s="1"/>
  <c r="B216" i="15" s="1"/>
  <c r="O211" i="15"/>
  <c r="N211" i="15"/>
  <c r="K211" i="15"/>
  <c r="J211" i="15"/>
  <c r="I211" i="15"/>
  <c r="H211" i="15"/>
  <c r="N210" i="15"/>
  <c r="H210" i="15"/>
  <c r="J210" i="15" s="1"/>
  <c r="N209" i="15"/>
  <c r="J209" i="15"/>
  <c r="H209" i="15"/>
  <c r="J208" i="15"/>
  <c r="I208" i="15"/>
  <c r="H208" i="15"/>
  <c r="J207" i="15"/>
  <c r="N207" i="15" s="1"/>
  <c r="H207" i="15"/>
  <c r="H206" i="15"/>
  <c r="J206" i="15" s="1"/>
  <c r="J205" i="15"/>
  <c r="I205" i="15"/>
  <c r="H205" i="15"/>
  <c r="H204" i="15"/>
  <c r="J204" i="15" s="1"/>
  <c r="H203" i="15"/>
  <c r="J203" i="15" s="1"/>
  <c r="K202" i="15"/>
  <c r="I202" i="15"/>
  <c r="H202" i="15"/>
  <c r="J202" i="15" s="1"/>
  <c r="H201" i="15"/>
  <c r="J201" i="15" s="1"/>
  <c r="J200" i="15"/>
  <c r="H200" i="15"/>
  <c r="N199" i="15"/>
  <c r="J199" i="15"/>
  <c r="H199" i="15"/>
  <c r="H198" i="15"/>
  <c r="J197" i="15"/>
  <c r="H197" i="15"/>
  <c r="O196" i="15"/>
  <c r="N196" i="15"/>
  <c r="I196" i="15"/>
  <c r="H196" i="15"/>
  <c r="J196" i="15" s="1"/>
  <c r="N195" i="15"/>
  <c r="J195" i="15"/>
  <c r="H195" i="15"/>
  <c r="J194" i="15"/>
  <c r="H194" i="15"/>
  <c r="B194" i="15"/>
  <c r="O193" i="15"/>
  <c r="I193" i="15"/>
  <c r="H193" i="15"/>
  <c r="J193" i="15" s="1"/>
  <c r="N193" i="15" s="1"/>
  <c r="B193" i="15"/>
  <c r="L192" i="15"/>
  <c r="H192" i="15"/>
  <c r="J192" i="15" s="1"/>
  <c r="N192" i="15" s="1"/>
  <c r="B192" i="15"/>
  <c r="N191" i="15"/>
  <c r="H191" i="15"/>
  <c r="J191" i="15" s="1"/>
  <c r="B191" i="15"/>
  <c r="N188" i="15"/>
  <c r="H188" i="15"/>
  <c r="J188" i="15" s="1"/>
  <c r="N187" i="15"/>
  <c r="H187" i="15"/>
  <c r="J187" i="15" s="1"/>
  <c r="H186" i="15"/>
  <c r="H185" i="15"/>
  <c r="J185" i="15" s="1"/>
  <c r="H184" i="15"/>
  <c r="J184" i="15" s="1"/>
  <c r="J183" i="15"/>
  <c r="H183" i="15"/>
  <c r="I185" i="15" s="1"/>
  <c r="J182" i="15"/>
  <c r="I182" i="15"/>
  <c r="H182" i="15"/>
  <c r="J181" i="15"/>
  <c r="N181" i="15" s="1"/>
  <c r="H181" i="15"/>
  <c r="H180" i="15"/>
  <c r="J180" i="15" s="1"/>
  <c r="O182" i="15" s="1"/>
  <c r="H179" i="15"/>
  <c r="J179" i="15" s="1"/>
  <c r="H178" i="15"/>
  <c r="J178" i="15" s="1"/>
  <c r="H177" i="15"/>
  <c r="I179" i="15" s="1"/>
  <c r="B177" i="15"/>
  <c r="B183" i="15" s="1"/>
  <c r="I176" i="15"/>
  <c r="H176" i="15"/>
  <c r="J176" i="15" s="1"/>
  <c r="N175" i="15"/>
  <c r="J175" i="15"/>
  <c r="H175" i="15"/>
  <c r="B175" i="15"/>
  <c r="B176" i="15" s="1"/>
  <c r="J174" i="15"/>
  <c r="H174" i="15"/>
  <c r="B174" i="15"/>
  <c r="O173" i="15"/>
  <c r="J173" i="15"/>
  <c r="I173" i="15"/>
  <c r="H173" i="15"/>
  <c r="B173" i="15"/>
  <c r="N172" i="15"/>
  <c r="H172" i="15"/>
  <c r="J172" i="15" s="1"/>
  <c r="K173" i="15" s="1"/>
  <c r="B172" i="15"/>
  <c r="N171" i="15"/>
  <c r="J171" i="15"/>
  <c r="H171" i="15"/>
  <c r="B171" i="15"/>
  <c r="J170" i="15"/>
  <c r="H170" i="15"/>
  <c r="J169" i="15"/>
  <c r="H169" i="15"/>
  <c r="B169" i="15"/>
  <c r="B170" i="15" s="1"/>
  <c r="H168" i="15"/>
  <c r="J168" i="15" s="1"/>
  <c r="B168" i="15"/>
  <c r="J165" i="15"/>
  <c r="N165" i="15" s="1"/>
  <c r="I165" i="15"/>
  <c r="H165" i="15"/>
  <c r="J164" i="15"/>
  <c r="H164" i="15"/>
  <c r="H163" i="15"/>
  <c r="J163" i="15" s="1"/>
  <c r="O162" i="15"/>
  <c r="J162" i="15"/>
  <c r="N162" i="15" s="1"/>
  <c r="I162" i="15"/>
  <c r="H162" i="15"/>
  <c r="J161" i="15"/>
  <c r="N161" i="15" s="1"/>
  <c r="H161" i="15"/>
  <c r="H160" i="15"/>
  <c r="J160" i="15" s="1"/>
  <c r="O159" i="15"/>
  <c r="N159" i="15"/>
  <c r="J159" i="15"/>
  <c r="I159" i="15"/>
  <c r="H159" i="15"/>
  <c r="H158" i="15"/>
  <c r="J158" i="15" s="1"/>
  <c r="N158" i="15" s="1"/>
  <c r="N157" i="15"/>
  <c r="H157" i="15"/>
  <c r="J157" i="15" s="1"/>
  <c r="B157" i="15"/>
  <c r="J156" i="15"/>
  <c r="N156" i="15" s="1"/>
  <c r="I156" i="15"/>
  <c r="H156" i="15"/>
  <c r="H155" i="15"/>
  <c r="J155" i="15" s="1"/>
  <c r="B155" i="15"/>
  <c r="B156" i="15" s="1"/>
  <c r="H154" i="15"/>
  <c r="J154" i="15" s="1"/>
  <c r="B154" i="15"/>
  <c r="I153" i="15"/>
  <c r="H153" i="15"/>
  <c r="J153" i="15" s="1"/>
  <c r="N152" i="15"/>
  <c r="H152" i="15"/>
  <c r="J152" i="15" s="1"/>
  <c r="B152" i="15"/>
  <c r="B153" i="15" s="1"/>
  <c r="N151" i="15"/>
  <c r="H151" i="15"/>
  <c r="J151" i="15" s="1"/>
  <c r="B151" i="15"/>
  <c r="K150" i="15"/>
  <c r="J150" i="15"/>
  <c r="I150" i="15"/>
  <c r="H150" i="15"/>
  <c r="B150" i="15"/>
  <c r="H149" i="15"/>
  <c r="J149" i="15" s="1"/>
  <c r="N148" i="15"/>
  <c r="H148" i="15"/>
  <c r="J148" i="15" s="1"/>
  <c r="O150" i="15" s="1"/>
  <c r="B148" i="15"/>
  <c r="B149" i="15" s="1"/>
  <c r="O147" i="15"/>
  <c r="J147" i="15"/>
  <c r="I147" i="15"/>
  <c r="H147" i="15"/>
  <c r="L146" i="15"/>
  <c r="J146" i="15"/>
  <c r="H146" i="15"/>
  <c r="B146" i="15"/>
  <c r="B147" i="15" s="1"/>
  <c r="J145" i="15"/>
  <c r="H145" i="15"/>
  <c r="B145" i="15"/>
  <c r="O142" i="15"/>
  <c r="N142" i="15"/>
  <c r="J142" i="15"/>
  <c r="I142" i="15"/>
  <c r="H142" i="15"/>
  <c r="H141" i="15"/>
  <c r="J141" i="15" s="1"/>
  <c r="H140" i="15"/>
  <c r="J140" i="15" s="1"/>
  <c r="J139" i="15"/>
  <c r="N139" i="15" s="1"/>
  <c r="H139" i="15"/>
  <c r="H138" i="15"/>
  <c r="N137" i="15"/>
  <c r="H137" i="15"/>
  <c r="J137" i="15" s="1"/>
  <c r="H136" i="15"/>
  <c r="J136" i="15" s="1"/>
  <c r="N135" i="15"/>
  <c r="H135" i="15"/>
  <c r="J135" i="15" s="1"/>
  <c r="H134" i="15"/>
  <c r="J134" i="15" s="1"/>
  <c r="K133" i="15"/>
  <c r="J133" i="15"/>
  <c r="N133" i="15" s="1"/>
  <c r="I133" i="15"/>
  <c r="H133" i="15"/>
  <c r="N132" i="15"/>
  <c r="J132" i="15"/>
  <c r="H132" i="15"/>
  <c r="H131" i="15"/>
  <c r="J131" i="15" s="1"/>
  <c r="O133" i="15" s="1"/>
  <c r="H130" i="15"/>
  <c r="J130" i="15" s="1"/>
  <c r="H129" i="15"/>
  <c r="J129" i="15" s="1"/>
  <c r="J128" i="15"/>
  <c r="H128" i="15"/>
  <c r="N127" i="15"/>
  <c r="J127" i="15"/>
  <c r="I127" i="15"/>
  <c r="H127" i="15"/>
  <c r="L126" i="15"/>
  <c r="M126" i="15" s="1"/>
  <c r="J126" i="15"/>
  <c r="H126" i="15"/>
  <c r="J125" i="15"/>
  <c r="H125" i="15"/>
  <c r="J124" i="15"/>
  <c r="I124" i="15"/>
  <c r="H124" i="15"/>
  <c r="M123" i="15"/>
  <c r="L123" i="15"/>
  <c r="J123" i="15"/>
  <c r="H123" i="15"/>
  <c r="H122" i="15"/>
  <c r="J122" i="15" s="1"/>
  <c r="B122" i="15"/>
  <c r="I119" i="15"/>
  <c r="H119" i="15"/>
  <c r="J119" i="15" s="1"/>
  <c r="N119" i="15" s="1"/>
  <c r="N118" i="15"/>
  <c r="J118" i="15"/>
  <c r="H118" i="15"/>
  <c r="N117" i="15"/>
  <c r="J117" i="15"/>
  <c r="H117" i="15"/>
  <c r="O116" i="15"/>
  <c r="K116" i="15"/>
  <c r="I116" i="15"/>
  <c r="H116" i="15"/>
  <c r="J116" i="15" s="1"/>
  <c r="N115" i="15"/>
  <c r="H115" i="15"/>
  <c r="J115" i="15" s="1"/>
  <c r="N114" i="15"/>
  <c r="H114" i="15"/>
  <c r="J114" i="15" s="1"/>
  <c r="N113" i="15"/>
  <c r="J113" i="15"/>
  <c r="H113" i="15"/>
  <c r="B113" i="15"/>
  <c r="H112" i="15"/>
  <c r="J112" i="15" s="1"/>
  <c r="J111" i="15"/>
  <c r="K113" i="15" s="1"/>
  <c r="H111" i="15"/>
  <c r="O110" i="15"/>
  <c r="N110" i="15"/>
  <c r="K110" i="15"/>
  <c r="I110" i="15"/>
  <c r="H110" i="15"/>
  <c r="J110" i="15" s="1"/>
  <c r="J109" i="15"/>
  <c r="H109" i="15"/>
  <c r="H108" i="15"/>
  <c r="J108" i="15" s="1"/>
  <c r="N108" i="15" s="1"/>
  <c r="J107" i="15"/>
  <c r="H107" i="15"/>
  <c r="N106" i="15"/>
  <c r="H106" i="15"/>
  <c r="J106" i="15" s="1"/>
  <c r="B106" i="15"/>
  <c r="B107" i="15" s="1"/>
  <c r="J105" i="15"/>
  <c r="H105" i="15"/>
  <c r="I107" i="15" s="1"/>
  <c r="N104" i="15"/>
  <c r="O104" i="15" s="1"/>
  <c r="K104" i="15"/>
  <c r="J104" i="15"/>
  <c r="H104" i="15"/>
  <c r="N103" i="15"/>
  <c r="J103" i="15"/>
  <c r="H103" i="15"/>
  <c r="I104" i="15" s="1"/>
  <c r="B103" i="15"/>
  <c r="B104" i="15" s="1"/>
  <c r="N102" i="15"/>
  <c r="J102" i="15"/>
  <c r="H102" i="15"/>
  <c r="B102" i="15"/>
  <c r="B105" i="15" s="1"/>
  <c r="B108" i="15" s="1"/>
  <c r="B111" i="15" s="1"/>
  <c r="B112" i="15" s="1"/>
  <c r="N101" i="15"/>
  <c r="I101" i="15"/>
  <c r="H101" i="15"/>
  <c r="J101" i="15" s="1"/>
  <c r="B101" i="15"/>
  <c r="L100" i="15"/>
  <c r="M100" i="15" s="1"/>
  <c r="H100" i="15"/>
  <c r="J100" i="15" s="1"/>
  <c r="P100" i="15" s="1"/>
  <c r="J99" i="15"/>
  <c r="H99" i="15"/>
  <c r="B99" i="15"/>
  <c r="B100" i="15" s="1"/>
  <c r="H96" i="15"/>
  <c r="J95" i="15"/>
  <c r="H95" i="15"/>
  <c r="J94" i="15"/>
  <c r="H94" i="15"/>
  <c r="I93" i="15"/>
  <c r="H93" i="15"/>
  <c r="J93" i="15" s="1"/>
  <c r="J92" i="15"/>
  <c r="H92" i="15"/>
  <c r="N91" i="15"/>
  <c r="H91" i="15"/>
  <c r="J91" i="15" s="1"/>
  <c r="J90" i="15"/>
  <c r="I90" i="15"/>
  <c r="H90" i="15"/>
  <c r="J89" i="15"/>
  <c r="N89" i="15" s="1"/>
  <c r="H89" i="15"/>
  <c r="J88" i="15"/>
  <c r="H88" i="15"/>
  <c r="J87" i="15"/>
  <c r="I87" i="15"/>
  <c r="H87" i="15"/>
  <c r="J86" i="15"/>
  <c r="H86" i="15"/>
  <c r="J85" i="15"/>
  <c r="H85" i="15"/>
  <c r="H84" i="15"/>
  <c r="J84" i="15" s="1"/>
  <c r="N84" i="15" s="1"/>
  <c r="H83" i="15"/>
  <c r="N82" i="15"/>
  <c r="J82" i="15"/>
  <c r="H82" i="15"/>
  <c r="O81" i="15"/>
  <c r="I81" i="15"/>
  <c r="H81" i="15"/>
  <c r="J81" i="15" s="1"/>
  <c r="H80" i="15"/>
  <c r="J80" i="15" s="1"/>
  <c r="N79" i="15"/>
  <c r="H79" i="15"/>
  <c r="J79" i="15" s="1"/>
  <c r="N78" i="15"/>
  <c r="H78" i="15"/>
  <c r="J78" i="15" s="1"/>
  <c r="J77" i="15"/>
  <c r="H77" i="15"/>
  <c r="B77" i="15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N76" i="15"/>
  <c r="J76" i="15"/>
  <c r="H76" i="15"/>
  <c r="B76" i="15"/>
  <c r="I73" i="15"/>
  <c r="H73" i="15"/>
  <c r="J73" i="15" s="1"/>
  <c r="H72" i="15"/>
  <c r="J72" i="15" s="1"/>
  <c r="J71" i="15"/>
  <c r="H71" i="15"/>
  <c r="N70" i="15"/>
  <c r="H70" i="15"/>
  <c r="J70" i="15" s="1"/>
  <c r="H69" i="15"/>
  <c r="J69" i="15" s="1"/>
  <c r="N69" i="15" s="1"/>
  <c r="J68" i="15"/>
  <c r="H68" i="15"/>
  <c r="I70" i="15" s="1"/>
  <c r="J67" i="15"/>
  <c r="I67" i="15"/>
  <c r="H67" i="15"/>
  <c r="H66" i="15"/>
  <c r="J66" i="15" s="1"/>
  <c r="N65" i="15"/>
  <c r="H65" i="15"/>
  <c r="J65" i="15" s="1"/>
  <c r="N64" i="15"/>
  <c r="J64" i="15"/>
  <c r="H64" i="15"/>
  <c r="H63" i="15"/>
  <c r="J63" i="15" s="1"/>
  <c r="N62" i="15"/>
  <c r="J62" i="15"/>
  <c r="H62" i="15"/>
  <c r="J61" i="15"/>
  <c r="H61" i="15"/>
  <c r="J60" i="15"/>
  <c r="H60" i="15"/>
  <c r="J59" i="15"/>
  <c r="H59" i="15"/>
  <c r="I61" i="15" s="1"/>
  <c r="O58" i="15"/>
  <c r="J58" i="15"/>
  <c r="I58" i="15"/>
  <c r="H58" i="15"/>
  <c r="J57" i="15"/>
  <c r="H57" i="15"/>
  <c r="N56" i="15"/>
  <c r="H56" i="15"/>
  <c r="J56" i="15" s="1"/>
  <c r="O55" i="15"/>
  <c r="J55" i="15"/>
  <c r="N55" i="15" s="1"/>
  <c r="I55" i="15"/>
  <c r="H55" i="15"/>
  <c r="J54" i="15"/>
  <c r="H54" i="15"/>
  <c r="N53" i="15"/>
  <c r="H53" i="15"/>
  <c r="J53" i="15" s="1"/>
  <c r="B53" i="15"/>
  <c r="J50" i="15"/>
  <c r="N50" i="15" s="1"/>
  <c r="I50" i="15"/>
  <c r="H50" i="15"/>
  <c r="J49" i="15"/>
  <c r="H49" i="15"/>
  <c r="J48" i="15"/>
  <c r="H48" i="15"/>
  <c r="O47" i="15"/>
  <c r="N47" i="15"/>
  <c r="J47" i="15"/>
  <c r="I47" i="15"/>
  <c r="H47" i="15"/>
  <c r="N46" i="15"/>
  <c r="J46" i="15"/>
  <c r="H46" i="15"/>
  <c r="N45" i="15"/>
  <c r="J45" i="15"/>
  <c r="H45" i="15"/>
  <c r="B45" i="15"/>
  <c r="B46" i="15" s="1"/>
  <c r="B47" i="15" s="1"/>
  <c r="B48" i="15" s="1"/>
  <c r="B49" i="15" s="1"/>
  <c r="B50" i="15" s="1"/>
  <c r="B51" i="15" s="1"/>
  <c r="H44" i="15"/>
  <c r="J44" i="15" s="1"/>
  <c r="N44" i="15" s="1"/>
  <c r="H43" i="15"/>
  <c r="J43" i="15" s="1"/>
  <c r="H42" i="15"/>
  <c r="I44" i="15" s="1"/>
  <c r="I51" i="15" s="1"/>
  <c r="B42" i="15"/>
  <c r="B43" i="15" s="1"/>
  <c r="B44" i="15" s="1"/>
  <c r="K41" i="15"/>
  <c r="J41" i="15"/>
  <c r="I41" i="15"/>
  <c r="H41" i="15"/>
  <c r="H40" i="15"/>
  <c r="J40" i="15" s="1"/>
  <c r="N40" i="15" s="1"/>
  <c r="N39" i="15"/>
  <c r="H39" i="15"/>
  <c r="J39" i="15" s="1"/>
  <c r="J38" i="15"/>
  <c r="N38" i="15" s="1"/>
  <c r="I38" i="15"/>
  <c r="H38" i="15"/>
  <c r="B38" i="15"/>
  <c r="J37" i="15"/>
  <c r="H37" i="15"/>
  <c r="B37" i="15"/>
  <c r="H36" i="15"/>
  <c r="J36" i="15" s="1"/>
  <c r="J35" i="15"/>
  <c r="I35" i="15"/>
  <c r="H35" i="15"/>
  <c r="B35" i="15"/>
  <c r="N34" i="15"/>
  <c r="M34" i="15"/>
  <c r="L34" i="15"/>
  <c r="H34" i="15"/>
  <c r="J34" i="15" s="1"/>
  <c r="P34" i="15" s="1"/>
  <c r="B34" i="15"/>
  <c r="H33" i="15"/>
  <c r="J33" i="15" s="1"/>
  <c r="N32" i="15"/>
  <c r="J32" i="15"/>
  <c r="I32" i="15"/>
  <c r="H32" i="15"/>
  <c r="M31" i="15"/>
  <c r="L31" i="15"/>
  <c r="H31" i="15"/>
  <c r="J31" i="15" s="1"/>
  <c r="B31" i="15"/>
  <c r="B32" i="15" s="1"/>
  <c r="J30" i="15"/>
  <c r="H30" i="15"/>
  <c r="B30" i="15"/>
  <c r="B33" i="15" s="1"/>
  <c r="B36" i="15" s="1"/>
  <c r="B39" i="15" s="1"/>
  <c r="B40" i="15" s="1"/>
  <c r="B41" i="15" s="1"/>
  <c r="B28" i="15"/>
  <c r="O27" i="15"/>
  <c r="N27" i="15"/>
  <c r="I27" i="15"/>
  <c r="H27" i="15"/>
  <c r="J27" i="15" s="1"/>
  <c r="K27" i="15" s="1"/>
  <c r="N26" i="15"/>
  <c r="J26" i="15"/>
  <c r="H26" i="15"/>
  <c r="N25" i="15"/>
  <c r="H25" i="15"/>
  <c r="J25" i="15" s="1"/>
  <c r="I24" i="15"/>
  <c r="H24" i="15"/>
  <c r="J24" i="15" s="1"/>
  <c r="N23" i="15"/>
  <c r="H23" i="15"/>
  <c r="J23" i="15" s="1"/>
  <c r="L22" i="15"/>
  <c r="L25" i="15" s="1"/>
  <c r="J22" i="15"/>
  <c r="H22" i="15"/>
  <c r="O21" i="15"/>
  <c r="I21" i="15"/>
  <c r="H21" i="15"/>
  <c r="J21" i="15" s="1"/>
  <c r="B21" i="15"/>
  <c r="B24" i="15" s="1"/>
  <c r="N20" i="15"/>
  <c r="J20" i="15"/>
  <c r="H20" i="15"/>
  <c r="B20" i="15"/>
  <c r="B23" i="15" s="1"/>
  <c r="L19" i="15"/>
  <c r="M19" i="15" s="1"/>
  <c r="Q21" i="15" s="1"/>
  <c r="J19" i="15"/>
  <c r="H19" i="15"/>
  <c r="O18" i="15"/>
  <c r="N18" i="15"/>
  <c r="L18" i="15"/>
  <c r="L21" i="15" s="1"/>
  <c r="M21" i="15" s="1"/>
  <c r="J18" i="15"/>
  <c r="P18" i="15" s="1"/>
  <c r="I18" i="15"/>
  <c r="H18" i="15"/>
  <c r="J17" i="15"/>
  <c r="H17" i="15"/>
  <c r="B17" i="15"/>
  <c r="B18" i="15" s="1"/>
  <c r="P16" i="15"/>
  <c r="N16" i="15"/>
  <c r="M16" i="15"/>
  <c r="Q18" i="15" s="1"/>
  <c r="L16" i="15"/>
  <c r="H16" i="15"/>
  <c r="J16" i="15" s="1"/>
  <c r="M15" i="15"/>
  <c r="L15" i="15"/>
  <c r="H15" i="15"/>
  <c r="J15" i="15" s="1"/>
  <c r="N15" i="15" s="1"/>
  <c r="M14" i="15"/>
  <c r="L14" i="15"/>
  <c r="L17" i="15" s="1"/>
  <c r="J14" i="15"/>
  <c r="H14" i="15"/>
  <c r="B14" i="15"/>
  <c r="B15" i="15" s="1"/>
  <c r="M13" i="15"/>
  <c r="L13" i="15"/>
  <c r="H13" i="15"/>
  <c r="J12" i="15"/>
  <c r="I12" i="15"/>
  <c r="H12" i="15"/>
  <c r="N11" i="15"/>
  <c r="J11" i="15"/>
  <c r="H11" i="15"/>
  <c r="B11" i="15"/>
  <c r="B12" i="15" s="1"/>
  <c r="J10" i="15"/>
  <c r="H10" i="15"/>
  <c r="B10" i="15"/>
  <c r="B13" i="15" s="1"/>
  <c r="B16" i="15" s="1"/>
  <c r="B19" i="15" s="1"/>
  <c r="J9" i="15"/>
  <c r="I9" i="15"/>
  <c r="H9" i="15"/>
  <c r="H8" i="15"/>
  <c r="J8" i="15" s="1"/>
  <c r="B8" i="15"/>
  <c r="B9" i="15" s="1"/>
  <c r="H7" i="15"/>
  <c r="J7" i="15" s="1"/>
  <c r="B7" i="15"/>
  <c r="C2" i="15"/>
  <c r="E20" i="14"/>
  <c r="E19" i="14"/>
  <c r="D19" i="14"/>
  <c r="C19" i="14"/>
  <c r="B346" i="13"/>
  <c r="B345" i="13"/>
  <c r="H339" i="13"/>
  <c r="J325" i="13"/>
  <c r="I316" i="13"/>
  <c r="I315" i="13"/>
  <c r="I312" i="13"/>
  <c r="I309" i="13"/>
  <c r="J302" i="13"/>
  <c r="J304" i="13" s="1"/>
  <c r="J307" i="13" s="1"/>
  <c r="I283" i="13"/>
  <c r="I319" i="13" s="1"/>
  <c r="I282" i="13"/>
  <c r="I318" i="13" s="1"/>
  <c r="I281" i="13"/>
  <c r="I317" i="13" s="1"/>
  <c r="I280" i="13"/>
  <c r="I279" i="13"/>
  <c r="I277" i="13"/>
  <c r="I313" i="13" s="1"/>
  <c r="I276" i="13"/>
  <c r="I275" i="13"/>
  <c r="I311" i="13" s="1"/>
  <c r="I274" i="13"/>
  <c r="I310" i="13" s="1"/>
  <c r="I273" i="13"/>
  <c r="I272" i="13"/>
  <c r="I271" i="13"/>
  <c r="I307" i="13" s="1"/>
  <c r="H261" i="13"/>
  <c r="I253" i="13"/>
  <c r="I244" i="13"/>
  <c r="I243" i="13"/>
  <c r="I242" i="13"/>
  <c r="I241" i="13"/>
  <c r="I240" i="13"/>
  <c r="I238" i="13"/>
  <c r="I237" i="13"/>
  <c r="I233" i="13"/>
  <c r="I232" i="13"/>
  <c r="G225" i="13"/>
  <c r="I206" i="13"/>
  <c r="H206" i="13"/>
  <c r="H205" i="13"/>
  <c r="I205" i="13" s="1"/>
  <c r="H204" i="13"/>
  <c r="I204" i="13" s="1"/>
  <c r="H202" i="13"/>
  <c r="I202" i="13" s="1"/>
  <c r="I201" i="13"/>
  <c r="H201" i="13"/>
  <c r="I171" i="13"/>
  <c r="I170" i="13"/>
  <c r="I166" i="13"/>
  <c r="I164" i="13"/>
  <c r="J149" i="13"/>
  <c r="I49" i="13"/>
  <c r="I48" i="13"/>
  <c r="I40" i="13"/>
  <c r="G203" i="13" s="1"/>
  <c r="I11" i="13"/>
  <c r="H213" i="13" s="1"/>
  <c r="I9" i="13"/>
  <c r="I8" i="13"/>
  <c r="B6" i="13"/>
  <c r="G5" i="13"/>
  <c r="G4" i="13"/>
  <c r="B346" i="12"/>
  <c r="G345" i="12"/>
  <c r="G346" i="12" s="1"/>
  <c r="B345" i="12"/>
  <c r="H339" i="12"/>
  <c r="G335" i="12"/>
  <c r="I318" i="12"/>
  <c r="I316" i="12"/>
  <c r="I311" i="12"/>
  <c r="I310" i="12"/>
  <c r="I309" i="12"/>
  <c r="J307" i="12"/>
  <c r="I307" i="12"/>
  <c r="J302" i="12"/>
  <c r="J304" i="12" s="1"/>
  <c r="J325" i="12" s="1"/>
  <c r="J329" i="12" s="1"/>
  <c r="I283" i="12"/>
  <c r="I319" i="12" s="1"/>
  <c r="I282" i="12"/>
  <c r="I281" i="12"/>
  <c r="I317" i="12" s="1"/>
  <c r="I280" i="12"/>
  <c r="I279" i="12"/>
  <c r="I315" i="12" s="1"/>
  <c r="I278" i="12"/>
  <c r="I314" i="12" s="1"/>
  <c r="I277" i="12"/>
  <c r="I313" i="12" s="1"/>
  <c r="I276" i="12"/>
  <c r="I312" i="12" s="1"/>
  <c r="I275" i="12"/>
  <c r="I273" i="12"/>
  <c r="I271" i="12"/>
  <c r="H261" i="12"/>
  <c r="I253" i="12"/>
  <c r="I244" i="12"/>
  <c r="I243" i="12"/>
  <c r="I242" i="12"/>
  <c r="I241" i="12"/>
  <c r="I240" i="12"/>
  <c r="I238" i="12"/>
  <c r="I237" i="12"/>
  <c r="I233" i="12"/>
  <c r="I232" i="12"/>
  <c r="G225" i="12"/>
  <c r="H213" i="12"/>
  <c r="H206" i="12"/>
  <c r="I206" i="12" s="1"/>
  <c r="I205" i="12"/>
  <c r="H205" i="12"/>
  <c r="H204" i="12"/>
  <c r="I204" i="12" s="1"/>
  <c r="I202" i="12"/>
  <c r="H202" i="12"/>
  <c r="H201" i="12"/>
  <c r="I201" i="12" s="1"/>
  <c r="I171" i="12"/>
  <c r="I170" i="12"/>
  <c r="I166" i="12"/>
  <c r="I274" i="12" s="1"/>
  <c r="I164" i="12"/>
  <c r="J149" i="12"/>
  <c r="J103" i="12"/>
  <c r="J102" i="12"/>
  <c r="I99" i="12"/>
  <c r="F95" i="12"/>
  <c r="C92" i="12" s="1"/>
  <c r="G50" i="12"/>
  <c r="I49" i="12"/>
  <c r="F48" i="12"/>
  <c r="I40" i="12"/>
  <c r="G203" i="12" s="1"/>
  <c r="G344" i="12" s="1"/>
  <c r="I11" i="12"/>
  <c r="I9" i="12"/>
  <c r="I8" i="12"/>
  <c r="B6" i="12"/>
  <c r="G5" i="12"/>
  <c r="G4" i="12"/>
  <c r="B3" i="12"/>
  <c r="B346" i="11"/>
  <c r="B345" i="11"/>
  <c r="H339" i="11"/>
  <c r="I319" i="11"/>
  <c r="I311" i="11"/>
  <c r="J304" i="11"/>
  <c r="J302" i="11"/>
  <c r="I283" i="11"/>
  <c r="I282" i="11"/>
  <c r="I318" i="11" s="1"/>
  <c r="I281" i="11"/>
  <c r="I317" i="11" s="1"/>
  <c r="I280" i="11"/>
  <c r="I316" i="11" s="1"/>
  <c r="I279" i="11"/>
  <c r="I315" i="11" s="1"/>
  <c r="I277" i="11"/>
  <c r="I313" i="11" s="1"/>
  <c r="I276" i="11"/>
  <c r="I312" i="11" s="1"/>
  <c r="I275" i="11"/>
  <c r="I273" i="11"/>
  <c r="I309" i="11" s="1"/>
  <c r="I271" i="11"/>
  <c r="I307" i="11" s="1"/>
  <c r="J261" i="11"/>
  <c r="H261" i="11"/>
  <c r="I253" i="11"/>
  <c r="I244" i="11"/>
  <c r="I243" i="11"/>
  <c r="I242" i="11"/>
  <c r="I241" i="11"/>
  <c r="I240" i="11"/>
  <c r="F239" i="11"/>
  <c r="I238" i="11"/>
  <c r="I237" i="11"/>
  <c r="I233" i="11"/>
  <c r="I232" i="11"/>
  <c r="G225" i="11"/>
  <c r="I206" i="11"/>
  <c r="H206" i="11"/>
  <c r="H205" i="11"/>
  <c r="I205" i="11" s="1"/>
  <c r="H204" i="11"/>
  <c r="I204" i="11" s="1"/>
  <c r="G203" i="11"/>
  <c r="H202" i="11"/>
  <c r="I202" i="11" s="1"/>
  <c r="I201" i="11"/>
  <c r="H201" i="11"/>
  <c r="I171" i="11"/>
  <c r="I170" i="11"/>
  <c r="I166" i="11"/>
  <c r="I164" i="11"/>
  <c r="J149" i="11"/>
  <c r="J133" i="11"/>
  <c r="T106" i="11"/>
  <c r="J103" i="11"/>
  <c r="J102" i="11"/>
  <c r="F95" i="11"/>
  <c r="C92" i="11" s="1"/>
  <c r="F80" i="11"/>
  <c r="I49" i="11"/>
  <c r="I41" i="11"/>
  <c r="I40" i="11"/>
  <c r="B13" i="11"/>
  <c r="I11" i="11"/>
  <c r="I9" i="11"/>
  <c r="I8" i="11"/>
  <c r="B6" i="11"/>
  <c r="G5" i="11"/>
  <c r="G4" i="11"/>
  <c r="B346" i="10"/>
  <c r="B345" i="10"/>
  <c r="H344" i="10"/>
  <c r="H345" i="10" s="1"/>
  <c r="H346" i="10" s="1"/>
  <c r="H339" i="10"/>
  <c r="I319" i="10"/>
  <c r="I316" i="10"/>
  <c r="I315" i="10"/>
  <c r="I310" i="10"/>
  <c r="I307" i="10"/>
  <c r="J304" i="10"/>
  <c r="J302" i="10"/>
  <c r="I283" i="10"/>
  <c r="I282" i="10"/>
  <c r="I318" i="10" s="1"/>
  <c r="I281" i="10"/>
  <c r="I317" i="10" s="1"/>
  <c r="I280" i="10"/>
  <c r="I278" i="10"/>
  <c r="I314" i="10" s="1"/>
  <c r="I277" i="10"/>
  <c r="I313" i="10" s="1"/>
  <c r="I276" i="10"/>
  <c r="I312" i="10" s="1"/>
  <c r="I275" i="10"/>
  <c r="I311" i="10" s="1"/>
  <c r="I273" i="10"/>
  <c r="I309" i="10" s="1"/>
  <c r="I271" i="10"/>
  <c r="H261" i="10"/>
  <c r="I253" i="10"/>
  <c r="I244" i="10"/>
  <c r="I243" i="10"/>
  <c r="I242" i="10"/>
  <c r="I241" i="10"/>
  <c r="I240" i="10"/>
  <c r="I238" i="10"/>
  <c r="I237" i="10"/>
  <c r="I233" i="10"/>
  <c r="I232" i="10"/>
  <c r="G225" i="10"/>
  <c r="H207" i="10"/>
  <c r="H206" i="10"/>
  <c r="I206" i="10" s="1"/>
  <c r="H205" i="10"/>
  <c r="I205" i="10" s="1"/>
  <c r="H204" i="10"/>
  <c r="I204" i="10" s="1"/>
  <c r="H202" i="10"/>
  <c r="I202" i="10" s="1"/>
  <c r="H201" i="10"/>
  <c r="I201" i="10" s="1"/>
  <c r="I171" i="10"/>
  <c r="I279" i="10" s="1"/>
  <c r="I170" i="10"/>
  <c r="I166" i="10"/>
  <c r="I274" i="10" s="1"/>
  <c r="I164" i="10"/>
  <c r="J149" i="10"/>
  <c r="J102" i="10"/>
  <c r="F95" i="10"/>
  <c r="C92" i="10" s="1"/>
  <c r="I49" i="10"/>
  <c r="I40" i="10"/>
  <c r="G203" i="10" s="1"/>
  <c r="I39" i="10"/>
  <c r="I38" i="10"/>
  <c r="I55" i="10" s="1"/>
  <c r="J55" i="10" s="1"/>
  <c r="I32" i="10"/>
  <c r="I31" i="10"/>
  <c r="F29" i="10"/>
  <c r="I29" i="10" s="1"/>
  <c r="I20" i="10"/>
  <c r="B13" i="10"/>
  <c r="I11" i="10"/>
  <c r="I9" i="10"/>
  <c r="I8" i="10"/>
  <c r="B6" i="10"/>
  <c r="G5" i="10"/>
  <c r="G4" i="10"/>
  <c r="B346" i="9"/>
  <c r="B345" i="9"/>
  <c r="G335" i="9"/>
  <c r="J329" i="9"/>
  <c r="J325" i="9"/>
  <c r="I318" i="9"/>
  <c r="I316" i="9"/>
  <c r="I315" i="9"/>
  <c r="I312" i="9"/>
  <c r="I311" i="9"/>
  <c r="I307" i="9"/>
  <c r="J304" i="9"/>
  <c r="J307" i="9" s="1"/>
  <c r="J302" i="9"/>
  <c r="I283" i="9"/>
  <c r="I319" i="9" s="1"/>
  <c r="I282" i="9"/>
  <c r="I281" i="9"/>
  <c r="I317" i="9" s="1"/>
  <c r="I280" i="9"/>
  <c r="I279" i="9"/>
  <c r="I277" i="9"/>
  <c r="I313" i="9" s="1"/>
  <c r="I276" i="9"/>
  <c r="I275" i="9"/>
  <c r="I274" i="9"/>
  <c r="I273" i="9"/>
  <c r="I309" i="9" s="1"/>
  <c r="I271" i="9"/>
  <c r="H261" i="9"/>
  <c r="I253" i="9"/>
  <c r="I244" i="9"/>
  <c r="I243" i="9"/>
  <c r="I242" i="9"/>
  <c r="I241" i="9"/>
  <c r="I240" i="9"/>
  <c r="I238" i="9"/>
  <c r="I237" i="9"/>
  <c r="I233" i="9"/>
  <c r="I232" i="9"/>
  <c r="G225" i="9"/>
  <c r="G219" i="9"/>
  <c r="G297" i="9" s="1"/>
  <c r="D347" i="9" s="1"/>
  <c r="H206" i="9"/>
  <c r="I206" i="9" s="1"/>
  <c r="H205" i="9"/>
  <c r="I205" i="9" s="1"/>
  <c r="H204" i="9"/>
  <c r="I204" i="9" s="1"/>
  <c r="G203" i="9"/>
  <c r="G344" i="9" s="1"/>
  <c r="G345" i="9" s="1"/>
  <c r="G346" i="9" s="1"/>
  <c r="I202" i="9"/>
  <c r="H202" i="9"/>
  <c r="I201" i="9"/>
  <c r="H201" i="9"/>
  <c r="I171" i="9"/>
  <c r="I170" i="9"/>
  <c r="I166" i="9"/>
  <c r="I164" i="9"/>
  <c r="J149" i="9"/>
  <c r="J102" i="9"/>
  <c r="J101" i="9"/>
  <c r="I99" i="9"/>
  <c r="I96" i="9"/>
  <c r="I95" i="9"/>
  <c r="F95" i="9"/>
  <c r="C92" i="9" s="1"/>
  <c r="I49" i="9"/>
  <c r="I40" i="9"/>
  <c r="I28" i="9"/>
  <c r="I27" i="9"/>
  <c r="I17" i="9"/>
  <c r="I10" i="9"/>
  <c r="I9" i="9"/>
  <c r="I8" i="9"/>
  <c r="B6" i="9"/>
  <c r="G5" i="9"/>
  <c r="G4" i="9"/>
  <c r="B3" i="9"/>
  <c r="B346" i="8"/>
  <c r="B345" i="8"/>
  <c r="J329" i="8"/>
  <c r="J325" i="8"/>
  <c r="I318" i="8"/>
  <c r="I316" i="8"/>
  <c r="I315" i="8"/>
  <c r="I313" i="8"/>
  <c r="I312" i="8"/>
  <c r="J307" i="8"/>
  <c r="I307" i="8"/>
  <c r="J302" i="8"/>
  <c r="J304" i="8" s="1"/>
  <c r="I283" i="8"/>
  <c r="I319" i="8" s="1"/>
  <c r="I282" i="8"/>
  <c r="I281" i="8"/>
  <c r="I317" i="8" s="1"/>
  <c r="I280" i="8"/>
  <c r="I279" i="8"/>
  <c r="I277" i="8"/>
  <c r="I276" i="8"/>
  <c r="I275" i="8"/>
  <c r="I311" i="8" s="1"/>
  <c r="I274" i="8"/>
  <c r="I310" i="8" s="1"/>
  <c r="I273" i="8"/>
  <c r="I309" i="8" s="1"/>
  <c r="I271" i="8"/>
  <c r="H261" i="8"/>
  <c r="I253" i="8"/>
  <c r="I244" i="8"/>
  <c r="I243" i="8"/>
  <c r="I242" i="8"/>
  <c r="I241" i="8"/>
  <c r="I240" i="8"/>
  <c r="I238" i="8"/>
  <c r="I237" i="8"/>
  <c r="I233" i="8"/>
  <c r="I232" i="8"/>
  <c r="G225" i="8"/>
  <c r="I206" i="8"/>
  <c r="H206" i="8"/>
  <c r="I205" i="8"/>
  <c r="H205" i="8"/>
  <c r="H204" i="8"/>
  <c r="I204" i="8" s="1"/>
  <c r="H202" i="8"/>
  <c r="I202" i="8" s="1"/>
  <c r="H201" i="8"/>
  <c r="I201" i="8" s="1"/>
  <c r="I171" i="8"/>
  <c r="I170" i="8"/>
  <c r="I278" i="8" s="1"/>
  <c r="I314" i="8" s="1"/>
  <c r="I166" i="8"/>
  <c r="I164" i="8"/>
  <c r="J149" i="8"/>
  <c r="J133" i="8"/>
  <c r="J102" i="8"/>
  <c r="F95" i="8"/>
  <c r="C92" i="8" s="1"/>
  <c r="H80" i="8"/>
  <c r="H239" i="8" s="1"/>
  <c r="G56" i="8"/>
  <c r="F48" i="8"/>
  <c r="H47" i="8"/>
  <c r="I41" i="8"/>
  <c r="I40" i="8"/>
  <c r="G203" i="8" s="1"/>
  <c r="I20" i="8"/>
  <c r="I17" i="8"/>
  <c r="I10" i="8"/>
  <c r="I9" i="8"/>
  <c r="I8" i="8"/>
  <c r="B6" i="8"/>
  <c r="G5" i="8"/>
  <c r="G4" i="8"/>
  <c r="G346" i="7"/>
  <c r="B346" i="7"/>
  <c r="B345" i="7"/>
  <c r="H339" i="7"/>
  <c r="G335" i="7"/>
  <c r="I314" i="7"/>
  <c r="I313" i="7"/>
  <c r="I311" i="7"/>
  <c r="I308" i="7"/>
  <c r="I307" i="7"/>
  <c r="J302" i="7"/>
  <c r="J304" i="7" s="1"/>
  <c r="J307" i="7" s="1"/>
  <c r="I283" i="7"/>
  <c r="I319" i="7" s="1"/>
  <c r="I282" i="7"/>
  <c r="I318" i="7" s="1"/>
  <c r="I281" i="7"/>
  <c r="I317" i="7" s="1"/>
  <c r="I280" i="7"/>
  <c r="I316" i="7" s="1"/>
  <c r="I277" i="7"/>
  <c r="I276" i="7"/>
  <c r="I312" i="7" s="1"/>
  <c r="I275" i="7"/>
  <c r="I274" i="7"/>
  <c r="I310" i="7" s="1"/>
  <c r="I273" i="7"/>
  <c r="I309" i="7" s="1"/>
  <c r="I271" i="7"/>
  <c r="H261" i="7"/>
  <c r="I253" i="7"/>
  <c r="I244" i="7"/>
  <c r="I243" i="7"/>
  <c r="I242" i="7"/>
  <c r="I241" i="7"/>
  <c r="I240" i="7"/>
  <c r="H239" i="7"/>
  <c r="F239" i="7"/>
  <c r="I238" i="7"/>
  <c r="I237" i="7"/>
  <c r="I233" i="7"/>
  <c r="I232" i="7"/>
  <c r="G225" i="7"/>
  <c r="H213" i="7"/>
  <c r="H206" i="7"/>
  <c r="I206" i="7" s="1"/>
  <c r="H205" i="7"/>
  <c r="I205" i="7" s="1"/>
  <c r="H204" i="7"/>
  <c r="I204" i="7" s="1"/>
  <c r="G203" i="7"/>
  <c r="G344" i="7" s="1"/>
  <c r="G345" i="7" s="1"/>
  <c r="H202" i="7"/>
  <c r="I202" i="7" s="1"/>
  <c r="I201" i="7"/>
  <c r="H201" i="7"/>
  <c r="I171" i="7"/>
  <c r="I279" i="7" s="1"/>
  <c r="I315" i="7" s="1"/>
  <c r="I170" i="7"/>
  <c r="I278" i="7" s="1"/>
  <c r="I166" i="7"/>
  <c r="I164" i="7"/>
  <c r="I272" i="7" s="1"/>
  <c r="J149" i="7"/>
  <c r="J133" i="7"/>
  <c r="J104" i="7"/>
  <c r="J102" i="7"/>
  <c r="I96" i="7"/>
  <c r="I95" i="7"/>
  <c r="F95" i="7"/>
  <c r="C92" i="7" s="1"/>
  <c r="I94" i="7"/>
  <c r="I80" i="7"/>
  <c r="H80" i="7"/>
  <c r="F80" i="7"/>
  <c r="G56" i="7"/>
  <c r="G50" i="7"/>
  <c r="F48" i="7"/>
  <c r="H47" i="7"/>
  <c r="I41" i="7"/>
  <c r="I40" i="7"/>
  <c r="I17" i="7"/>
  <c r="B13" i="7"/>
  <c r="I11" i="7"/>
  <c r="I9" i="7"/>
  <c r="I8" i="7"/>
  <c r="B6" i="7"/>
  <c r="G5" i="7"/>
  <c r="G4" i="7"/>
  <c r="B2" i="7"/>
  <c r="E9" i="6"/>
  <c r="F8" i="6"/>
  <c r="I8" i="6" s="1"/>
  <c r="E8" i="6"/>
  <c r="F7" i="6"/>
  <c r="E7" i="6"/>
  <c r="N22" i="5"/>
  <c r="P22" i="5" s="1"/>
  <c r="Q22" i="5" s="1"/>
  <c r="K22" i="5"/>
  <c r="J22" i="5"/>
  <c r="I22" i="5"/>
  <c r="H22" i="5"/>
  <c r="G22" i="5"/>
  <c r="E22" i="5"/>
  <c r="D22" i="5"/>
  <c r="P21" i="5"/>
  <c r="Q21" i="5" s="1"/>
  <c r="F20" i="5"/>
  <c r="E20" i="5"/>
  <c r="F19" i="5"/>
  <c r="C19" i="5"/>
  <c r="F18" i="5"/>
  <c r="E18" i="5"/>
  <c r="D18" i="5"/>
  <c r="F17" i="5"/>
  <c r="F16" i="5"/>
  <c r="C16" i="5"/>
  <c r="F15" i="5"/>
  <c r="E15" i="5"/>
  <c r="D15" i="5"/>
  <c r="L14" i="5"/>
  <c r="F14" i="5"/>
  <c r="E14" i="5"/>
  <c r="D14" i="5"/>
  <c r="C12" i="5"/>
  <c r="D10" i="5"/>
  <c r="L9" i="5"/>
  <c r="D9" i="5"/>
  <c r="D8" i="5"/>
  <c r="D7" i="5"/>
  <c r="L6" i="5"/>
  <c r="D6" i="5"/>
  <c r="D4" i="5"/>
  <c r="N21" i="5" s="1"/>
  <c r="J94" i="4"/>
  <c r="D94" i="4"/>
  <c r="N92" i="4"/>
  <c r="I17" i="21" s="1"/>
  <c r="M92" i="4"/>
  <c r="I17" i="20" s="1"/>
  <c r="L92" i="4"/>
  <c r="I17" i="19" s="1"/>
  <c r="K92" i="4"/>
  <c r="I17" i="18" s="1"/>
  <c r="J92" i="4"/>
  <c r="I17" i="17" s="1"/>
  <c r="I20" i="17" s="1"/>
  <c r="I92" i="4"/>
  <c r="I17" i="13" s="1"/>
  <c r="H92" i="4"/>
  <c r="G92" i="4"/>
  <c r="I17" i="11" s="1"/>
  <c r="F92" i="4"/>
  <c r="I17" i="10" s="1"/>
  <c r="J105" i="10" s="1"/>
  <c r="E92" i="4"/>
  <c r="E16" i="5" s="1"/>
  <c r="D92" i="4"/>
  <c r="C92" i="4"/>
  <c r="H91" i="4"/>
  <c r="D87" i="4"/>
  <c r="C87" i="4"/>
  <c r="H84" i="4"/>
  <c r="E84" i="4"/>
  <c r="E91" i="4" s="1"/>
  <c r="K81" i="4"/>
  <c r="J81" i="4"/>
  <c r="I81" i="4"/>
  <c r="H81" i="4"/>
  <c r="J133" i="12" s="1"/>
  <c r="G81" i="4"/>
  <c r="F81" i="4"/>
  <c r="E81" i="4"/>
  <c r="D81" i="4"/>
  <c r="J261" i="8" s="1"/>
  <c r="C81" i="4"/>
  <c r="J261" i="7" s="1"/>
  <c r="G79" i="4"/>
  <c r="J101" i="11" s="1"/>
  <c r="F79" i="4"/>
  <c r="E79" i="4"/>
  <c r="D79" i="4"/>
  <c r="C79" i="4"/>
  <c r="N78" i="4"/>
  <c r="J78" i="4"/>
  <c r="F78" i="4"/>
  <c r="J103" i="10" s="1"/>
  <c r="N76" i="4"/>
  <c r="F76" i="4"/>
  <c r="J104" i="10" s="1"/>
  <c r="D76" i="4"/>
  <c r="J104" i="8" s="1"/>
  <c r="J75" i="4"/>
  <c r="I96" i="17" s="1"/>
  <c r="F75" i="4"/>
  <c r="I96" i="10" s="1"/>
  <c r="E75" i="4"/>
  <c r="D75" i="4"/>
  <c r="I96" i="8" s="1"/>
  <c r="C75" i="4"/>
  <c r="N74" i="4"/>
  <c r="I95" i="21" s="1"/>
  <c r="M74" i="4"/>
  <c r="I95" i="20" s="1"/>
  <c r="L74" i="4"/>
  <c r="I95" i="19" s="1"/>
  <c r="K74" i="4"/>
  <c r="I93" i="18" s="1"/>
  <c r="J74" i="4"/>
  <c r="I95" i="17" s="1"/>
  <c r="I74" i="4"/>
  <c r="I95" i="13" s="1"/>
  <c r="H74" i="4"/>
  <c r="I95" i="12" s="1"/>
  <c r="G74" i="4"/>
  <c r="I95" i="11" s="1"/>
  <c r="F74" i="4"/>
  <c r="I95" i="10" s="1"/>
  <c r="E74" i="4"/>
  <c r="D74" i="4"/>
  <c r="I95" i="8" s="1"/>
  <c r="C74" i="4"/>
  <c r="D73" i="4"/>
  <c r="D72" i="4"/>
  <c r="C72" i="4"/>
  <c r="I93" i="7" s="1"/>
  <c r="K71" i="4"/>
  <c r="E104" i="18" s="1"/>
  <c r="N70" i="4"/>
  <c r="M70" i="4"/>
  <c r="L70" i="4"/>
  <c r="K69" i="4"/>
  <c r="H98" i="18" s="1"/>
  <c r="J69" i="4"/>
  <c r="I69" i="4"/>
  <c r="H69" i="4"/>
  <c r="G69" i="4"/>
  <c r="F69" i="4"/>
  <c r="E69" i="4"/>
  <c r="D69" i="4"/>
  <c r="C69" i="4"/>
  <c r="E68" i="4"/>
  <c r="C68" i="4"/>
  <c r="J67" i="4" s="1"/>
  <c r="K67" i="4"/>
  <c r="H96" i="18" s="1"/>
  <c r="I96" i="18" s="1"/>
  <c r="E67" i="4"/>
  <c r="D67" i="4"/>
  <c r="C67" i="4"/>
  <c r="E66" i="4"/>
  <c r="C66" i="4"/>
  <c r="E65" i="4"/>
  <c r="D65" i="4"/>
  <c r="C65" i="4"/>
  <c r="F64" i="4"/>
  <c r="J101" i="10" s="1"/>
  <c r="E64" i="4"/>
  <c r="L63" i="4"/>
  <c r="D63" i="4"/>
  <c r="C63" i="4"/>
  <c r="I62" i="4"/>
  <c r="H62" i="4"/>
  <c r="G62" i="4"/>
  <c r="I99" i="11" s="1"/>
  <c r="F62" i="4"/>
  <c r="I99" i="10" s="1"/>
  <c r="E62" i="4"/>
  <c r="D62" i="4"/>
  <c r="I99" i="8" s="1"/>
  <c r="C62" i="4"/>
  <c r="I99" i="7" s="1"/>
  <c r="N61" i="4"/>
  <c r="I100" i="21" s="1"/>
  <c r="L61" i="4"/>
  <c r="K61" i="4"/>
  <c r="F102" i="18" s="1"/>
  <c r="J61" i="4"/>
  <c r="I100" i="17" s="1"/>
  <c r="F61" i="4"/>
  <c r="I100" i="10" s="1"/>
  <c r="E61" i="4"/>
  <c r="I100" i="9" s="1"/>
  <c r="D61" i="4"/>
  <c r="I100" i="8" s="1"/>
  <c r="L60" i="4"/>
  <c r="H60" i="4"/>
  <c r="F60" i="4"/>
  <c r="D60" i="4"/>
  <c r="I98" i="8" s="1"/>
  <c r="C60" i="4"/>
  <c r="I98" i="7" s="1"/>
  <c r="E58" i="4"/>
  <c r="H80" i="9" s="1"/>
  <c r="H239" i="9" s="1"/>
  <c r="D58" i="4"/>
  <c r="H57" i="4"/>
  <c r="I57" i="4" s="1"/>
  <c r="F80" i="13" s="1"/>
  <c r="D57" i="4"/>
  <c r="E57" i="4" s="1"/>
  <c r="N56" i="4"/>
  <c r="N84" i="4" s="1"/>
  <c r="N91" i="4" s="1"/>
  <c r="E56" i="4"/>
  <c r="K52" i="4"/>
  <c r="K63" i="4" s="1"/>
  <c r="J52" i="4"/>
  <c r="I52" i="4"/>
  <c r="H52" i="4"/>
  <c r="G52" i="4"/>
  <c r="F52" i="4"/>
  <c r="D17" i="5" s="1"/>
  <c r="E52" i="4"/>
  <c r="D52" i="4"/>
  <c r="C52" i="4"/>
  <c r="N51" i="4"/>
  <c r="N52" i="4" s="1"/>
  <c r="M51" i="4"/>
  <c r="M52" i="4" s="1"/>
  <c r="L51" i="4"/>
  <c r="L52" i="4" s="1"/>
  <c r="K51" i="4"/>
  <c r="J51" i="4"/>
  <c r="N49" i="4"/>
  <c r="J49" i="4"/>
  <c r="J56" i="4" s="1"/>
  <c r="J84" i="4" s="1"/>
  <c r="J91" i="4" s="1"/>
  <c r="I49" i="4"/>
  <c r="I56" i="4" s="1"/>
  <c r="I84" i="4" s="1"/>
  <c r="I91" i="4" s="1"/>
  <c r="H49" i="4"/>
  <c r="H56" i="4" s="1"/>
  <c r="E49" i="4"/>
  <c r="D44" i="4"/>
  <c r="I49" i="8" s="1"/>
  <c r="C44" i="4"/>
  <c r="I49" i="7" s="1"/>
  <c r="K43" i="4"/>
  <c r="J43" i="4"/>
  <c r="I51" i="17" s="1"/>
  <c r="I43" i="4"/>
  <c r="H43" i="4"/>
  <c r="G43" i="4"/>
  <c r="F43" i="4"/>
  <c r="E43" i="4"/>
  <c r="D43" i="4"/>
  <c r="C43" i="4"/>
  <c r="D42" i="4"/>
  <c r="E42" i="4" s="1"/>
  <c r="I41" i="10" s="1"/>
  <c r="N41" i="4"/>
  <c r="I50" i="21" s="1"/>
  <c r="M41" i="4"/>
  <c r="I50" i="20" s="1"/>
  <c r="L41" i="4"/>
  <c r="I50" i="19" s="1"/>
  <c r="C41" i="4"/>
  <c r="I50" i="7" s="1"/>
  <c r="N40" i="4"/>
  <c r="G50" i="21" s="1"/>
  <c r="M40" i="4"/>
  <c r="G50" i="20" s="1"/>
  <c r="L40" i="4"/>
  <c r="G50" i="19" s="1"/>
  <c r="K40" i="4"/>
  <c r="J40" i="4"/>
  <c r="G50" i="17" s="1"/>
  <c r="I40" i="4"/>
  <c r="H40" i="4"/>
  <c r="G40" i="4"/>
  <c r="G50" i="11" s="1"/>
  <c r="F40" i="4"/>
  <c r="E40" i="4"/>
  <c r="D40" i="4"/>
  <c r="C40" i="4"/>
  <c r="H39" i="4"/>
  <c r="I48" i="12" s="1"/>
  <c r="E39" i="4"/>
  <c r="I48" i="9" s="1"/>
  <c r="D39" i="4"/>
  <c r="I48" i="8" s="1"/>
  <c r="C39" i="4"/>
  <c r="I48" i="7" s="1"/>
  <c r="N38" i="4"/>
  <c r="F48" i="21" s="1"/>
  <c r="M38" i="4"/>
  <c r="F48" i="20" s="1"/>
  <c r="L38" i="4"/>
  <c r="F48" i="19" s="1"/>
  <c r="K38" i="4"/>
  <c r="F48" i="18" s="1"/>
  <c r="J38" i="4"/>
  <c r="F48" i="17" s="1"/>
  <c r="I38" i="4"/>
  <c r="F48" i="13" s="1"/>
  <c r="H38" i="4"/>
  <c r="G38" i="4"/>
  <c r="F38" i="4"/>
  <c r="E38" i="4"/>
  <c r="F48" i="9" s="1"/>
  <c r="D38" i="4"/>
  <c r="C38" i="4"/>
  <c r="N37" i="4"/>
  <c r="F29" i="21" s="1"/>
  <c r="M37" i="4"/>
  <c r="F29" i="20" s="1"/>
  <c r="L37" i="4"/>
  <c r="F29" i="19" s="1"/>
  <c r="K37" i="4"/>
  <c r="F29" i="18" s="1"/>
  <c r="J37" i="4"/>
  <c r="F29" i="17" s="1"/>
  <c r="I37" i="4"/>
  <c r="F29" i="13" s="1"/>
  <c r="H37" i="4"/>
  <c r="F29" i="12" s="1"/>
  <c r="G37" i="4"/>
  <c r="F29" i="11" s="1"/>
  <c r="F37" i="4"/>
  <c r="E37" i="4"/>
  <c r="F29" i="9" s="1"/>
  <c r="D37" i="4"/>
  <c r="F29" i="8" s="1"/>
  <c r="C37" i="4"/>
  <c r="F29" i="7" s="1"/>
  <c r="N36" i="4"/>
  <c r="L36" i="4"/>
  <c r="J36" i="4"/>
  <c r="I31" i="17" s="1"/>
  <c r="F36" i="4"/>
  <c r="D36" i="4"/>
  <c r="I31" i="8" s="1"/>
  <c r="C36" i="4"/>
  <c r="I31" i="7" s="1"/>
  <c r="N35" i="4"/>
  <c r="I10" i="21" s="1"/>
  <c r="M35" i="4"/>
  <c r="L35" i="4"/>
  <c r="K35" i="4"/>
  <c r="J35" i="4"/>
  <c r="J76" i="4" s="1"/>
  <c r="J104" i="17" s="1"/>
  <c r="I35" i="4"/>
  <c r="H35" i="4"/>
  <c r="G35" i="4"/>
  <c r="F35" i="4"/>
  <c r="I10" i="10" s="1"/>
  <c r="E35" i="4"/>
  <c r="D35" i="4"/>
  <c r="C35" i="4"/>
  <c r="C76" i="4" s="1"/>
  <c r="N33" i="4"/>
  <c r="M33" i="4"/>
  <c r="L33" i="4"/>
  <c r="K33" i="4"/>
  <c r="J33" i="4"/>
  <c r="I33" i="4"/>
  <c r="H33" i="4"/>
  <c r="I27" i="12" s="1"/>
  <c r="I28" i="12" s="1"/>
  <c r="G33" i="4"/>
  <c r="F33" i="4"/>
  <c r="E33" i="4"/>
  <c r="D33" i="4"/>
  <c r="C33" i="4"/>
  <c r="C11" i="4"/>
  <c r="E4" i="3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D4" i="3"/>
  <c r="I71" i="2"/>
  <c r="I70" i="2"/>
  <c r="I69" i="2"/>
  <c r="I68" i="2"/>
  <c r="I67" i="2"/>
  <c r="I66" i="2"/>
  <c r="I65" i="2"/>
  <c r="I64" i="2"/>
  <c r="I63" i="2"/>
  <c r="S62" i="2"/>
  <c r="R62" i="2"/>
  <c r="Q62" i="2"/>
  <c r="P62" i="2"/>
  <c r="O62" i="2"/>
  <c r="N61" i="2"/>
  <c r="M61" i="2"/>
  <c r="L61" i="2"/>
  <c r="K61" i="2"/>
  <c r="J61" i="2"/>
  <c r="N60" i="2"/>
  <c r="M60" i="2"/>
  <c r="L60" i="2"/>
  <c r="K60" i="2"/>
  <c r="J60" i="2"/>
  <c r="N59" i="2"/>
  <c r="M59" i="2"/>
  <c r="L59" i="2"/>
  <c r="K59" i="2"/>
  <c r="J59" i="2"/>
  <c r="R58" i="2"/>
  <c r="Q58" i="2"/>
  <c r="P58" i="2"/>
  <c r="O58" i="2"/>
  <c r="N57" i="2"/>
  <c r="M57" i="2"/>
  <c r="L57" i="2"/>
  <c r="K57" i="2"/>
  <c r="J57" i="2"/>
  <c r="K55" i="2"/>
  <c r="L55" i="2" s="1"/>
  <c r="M55" i="2" s="1"/>
  <c r="N55" i="2" s="1"/>
  <c r="O55" i="2" s="1"/>
  <c r="P55" i="2" s="1"/>
  <c r="Q55" i="2" s="1"/>
  <c r="R55" i="2" s="1"/>
  <c r="S55" i="2" s="1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AE51" i="2"/>
  <c r="AE50" i="2"/>
  <c r="AE49" i="2"/>
  <c r="AE48" i="2"/>
  <c r="AE47" i="2"/>
  <c r="AE46" i="2"/>
  <c r="AE45" i="2"/>
  <c r="AE44" i="2"/>
  <c r="AE43" i="2"/>
  <c r="AE42" i="2"/>
  <c r="AE41" i="2"/>
  <c r="AE40" i="2"/>
  <c r="AE39" i="2"/>
  <c r="AE38" i="2"/>
  <c r="AE37" i="2"/>
  <c r="BN32" i="2"/>
  <c r="K32" i="2"/>
  <c r="L32" i="2" s="1"/>
  <c r="M32" i="2" s="1"/>
  <c r="N32" i="2" s="1"/>
  <c r="O32" i="2" s="1"/>
  <c r="P32" i="2" s="1"/>
  <c r="Q32" i="2" s="1"/>
  <c r="R32" i="2" s="1"/>
  <c r="S32" i="2" s="1"/>
  <c r="T32" i="2" s="1"/>
  <c r="U32" i="2" s="1"/>
  <c r="V32" i="2" s="1"/>
  <c r="W32" i="2" s="1"/>
  <c r="X32" i="2" s="1"/>
  <c r="Y32" i="2" s="1"/>
  <c r="Z32" i="2" s="1"/>
  <c r="AA32" i="2" s="1"/>
  <c r="AB32" i="2" s="1"/>
  <c r="AC32" i="2" s="1"/>
  <c r="AD32" i="2" s="1"/>
  <c r="AE32" i="2" s="1"/>
  <c r="HM28" i="2"/>
  <c r="HL28" i="2"/>
  <c r="HK28" i="2"/>
  <c r="HJ28" i="2"/>
  <c r="HI28" i="2"/>
  <c r="HH28" i="2"/>
  <c r="HG28" i="2"/>
  <c r="HF28" i="2"/>
  <c r="HE28" i="2"/>
  <c r="HD28" i="2"/>
  <c r="HB28" i="2"/>
  <c r="HA28" i="2"/>
  <c r="GZ28" i="2"/>
  <c r="GY28" i="2"/>
  <c r="GX28" i="2"/>
  <c r="GW28" i="2"/>
  <c r="GV28" i="2"/>
  <c r="GU28" i="2"/>
  <c r="GT28" i="2"/>
  <c r="GS28" i="2"/>
  <c r="GR28" i="2"/>
  <c r="GQ28" i="2"/>
  <c r="GP28" i="2"/>
  <c r="GO28" i="2"/>
  <c r="GN28" i="2"/>
  <c r="GM28" i="2"/>
  <c r="FC26" i="2"/>
  <c r="EL26" i="2"/>
  <c r="DU26" i="2"/>
  <c r="DD26" i="2"/>
  <c r="CM26" i="2"/>
  <c r="BV26" i="2"/>
  <c r="BE26" i="2"/>
  <c r="AN26" i="2"/>
  <c r="W26" i="2"/>
  <c r="HC25" i="2"/>
  <c r="GL25" i="2"/>
  <c r="GK25" i="2"/>
  <c r="GJ25" i="2"/>
  <c r="GI25" i="2"/>
  <c r="GH25" i="2"/>
  <c r="GG25" i="2"/>
  <c r="GD25" i="2"/>
  <c r="GC25" i="2"/>
  <c r="GB25" i="2"/>
  <c r="GA25" i="2"/>
  <c r="FZ25" i="2"/>
  <c r="FY25" i="2"/>
  <c r="FX25" i="2"/>
  <c r="FW25" i="2"/>
  <c r="FV25" i="2"/>
  <c r="FU25" i="2"/>
  <c r="FT25" i="2"/>
  <c r="FS25" i="2"/>
  <c r="FR25" i="2"/>
  <c r="FQ25" i="2"/>
  <c r="FP25" i="2"/>
  <c r="FM25" i="2"/>
  <c r="FL25" i="2"/>
  <c r="FK25" i="2"/>
  <c r="FJ25" i="2"/>
  <c r="FI25" i="2"/>
  <c r="FH25" i="2"/>
  <c r="FG25" i="2"/>
  <c r="FF25" i="2"/>
  <c r="FE25" i="2"/>
  <c r="FD25" i="2"/>
  <c r="FC25" i="2"/>
  <c r="FB25" i="2"/>
  <c r="FA25" i="2"/>
  <c r="EZ25" i="2"/>
  <c r="EY25" i="2"/>
  <c r="EX25" i="2"/>
  <c r="EW25" i="2"/>
  <c r="EV25" i="2"/>
  <c r="EU25" i="2"/>
  <c r="ET25" i="2"/>
  <c r="ES25" i="2"/>
  <c r="ER25" i="2"/>
  <c r="EQ25" i="2"/>
  <c r="EP25" i="2"/>
  <c r="EO25" i="2"/>
  <c r="EN25" i="2"/>
  <c r="EM25" i="2"/>
  <c r="EL25" i="2"/>
  <c r="EK25" i="2"/>
  <c r="EJ25" i="2"/>
  <c r="EI25" i="2"/>
  <c r="EH25" i="2"/>
  <c r="EG25" i="2"/>
  <c r="EF25" i="2"/>
  <c r="EE25" i="2"/>
  <c r="ED25" i="2"/>
  <c r="EC25" i="2"/>
  <c r="EB25" i="2"/>
  <c r="EA25" i="2"/>
  <c r="DZ25" i="2"/>
  <c r="DY25" i="2"/>
  <c r="DX25" i="2"/>
  <c r="DW25" i="2"/>
  <c r="DV25" i="2"/>
  <c r="DU25" i="2"/>
  <c r="DT25" i="2"/>
  <c r="DS25" i="2"/>
  <c r="DR25" i="2"/>
  <c r="DQ25" i="2"/>
  <c r="DP25" i="2"/>
  <c r="DO25" i="2"/>
  <c r="DN25" i="2"/>
  <c r="DM25" i="2"/>
  <c r="DL25" i="2"/>
  <c r="DK25" i="2"/>
  <c r="DJ25" i="2"/>
  <c r="DI25" i="2"/>
  <c r="DH25" i="2"/>
  <c r="DG25" i="2"/>
  <c r="DF25" i="2"/>
  <c r="DE25" i="2"/>
  <c r="DD25" i="2"/>
  <c r="DC25" i="2"/>
  <c r="DB25" i="2"/>
  <c r="DA25" i="2"/>
  <c r="CZ25" i="2"/>
  <c r="CY25" i="2"/>
  <c r="CX25" i="2"/>
  <c r="CW25" i="2"/>
  <c r="CV25" i="2"/>
  <c r="CU25" i="2"/>
  <c r="CT25" i="2"/>
  <c r="CS25" i="2"/>
  <c r="CR25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HN24" i="2"/>
  <c r="HC24" i="2"/>
  <c r="GW24" i="2"/>
  <c r="GV24" i="2"/>
  <c r="GF24" i="2"/>
  <c r="GE24" i="2"/>
  <c r="FO24" i="2"/>
  <c r="FN24" i="2"/>
  <c r="HN23" i="2"/>
  <c r="HC23" i="2"/>
  <c r="GW23" i="2"/>
  <c r="GV23" i="2"/>
  <c r="GF23" i="2"/>
  <c r="GE23" i="2"/>
  <c r="FO23" i="2"/>
  <c r="FN23" i="2"/>
  <c r="HC22" i="2"/>
  <c r="HN21" i="2"/>
  <c r="HC21" i="2"/>
  <c r="GW21" i="2"/>
  <c r="GV21" i="2"/>
  <c r="GF21" i="2"/>
  <c r="GE21" i="2"/>
  <c r="FO21" i="2"/>
  <c r="FN21" i="2"/>
  <c r="HN20" i="2"/>
  <c r="HC20" i="2"/>
  <c r="GW20" i="2"/>
  <c r="GV20" i="2"/>
  <c r="GF20" i="2"/>
  <c r="GE20" i="2"/>
  <c r="FO20" i="2"/>
  <c r="FN20" i="2"/>
  <c r="HN19" i="2"/>
  <c r="HC19" i="2"/>
  <c r="GW19" i="2"/>
  <c r="GV19" i="2"/>
  <c r="GF19" i="2"/>
  <c r="GE19" i="2"/>
  <c r="FO19" i="2"/>
  <c r="FN19" i="2"/>
  <c r="HC18" i="2"/>
  <c r="HN17" i="2"/>
  <c r="HC17" i="2"/>
  <c r="GW17" i="2"/>
  <c r="GV17" i="2"/>
  <c r="GF17" i="2"/>
  <c r="GE17" i="2"/>
  <c r="FO17" i="2"/>
  <c r="FN17" i="2"/>
  <c r="HN16" i="2"/>
  <c r="HC16" i="2"/>
  <c r="GW16" i="2"/>
  <c r="GV16" i="2"/>
  <c r="GF16" i="2"/>
  <c r="GE16" i="2"/>
  <c r="FO16" i="2"/>
  <c r="FN16" i="2"/>
  <c r="HN15" i="2"/>
  <c r="HC15" i="2"/>
  <c r="GW15" i="2"/>
  <c r="N68" i="4" s="1"/>
  <c r="GV15" i="2"/>
  <c r="GF15" i="2"/>
  <c r="M68" i="4" s="1"/>
  <c r="GE15" i="2"/>
  <c r="FO15" i="2"/>
  <c r="L68" i="4" s="1"/>
  <c r="FN15" i="2"/>
  <c r="HN14" i="2"/>
  <c r="HC14" i="2"/>
  <c r="GW14" i="2"/>
  <c r="GV14" i="2"/>
  <c r="GF14" i="2"/>
  <c r="GE14" i="2"/>
  <c r="FO14" i="2"/>
  <c r="FO25" i="2" s="1"/>
  <c r="FN14" i="2"/>
  <c r="HN13" i="2"/>
  <c r="HC13" i="2"/>
  <c r="GW13" i="2"/>
  <c r="GV13" i="2"/>
  <c r="GF13" i="2"/>
  <c r="GE13" i="2"/>
  <c r="FO13" i="2"/>
  <c r="FN13" i="2"/>
  <c r="HN12" i="2"/>
  <c r="HC12" i="2"/>
  <c r="GW12" i="2"/>
  <c r="GV12" i="2"/>
  <c r="GF12" i="2"/>
  <c r="GE12" i="2"/>
  <c r="FO12" i="2"/>
  <c r="FN12" i="2"/>
  <c r="HC11" i="2"/>
  <c r="HN10" i="2"/>
  <c r="HC10" i="2"/>
  <c r="GW10" i="2"/>
  <c r="GV10" i="2"/>
  <c r="GF10" i="2"/>
  <c r="GE10" i="2"/>
  <c r="FO10" i="2"/>
  <c r="FN10" i="2"/>
  <c r="GL5" i="2"/>
  <c r="FU5" i="2"/>
  <c r="FD5" i="2"/>
  <c r="EM5" i="2"/>
  <c r="DE5" i="2"/>
  <c r="CN5" i="2"/>
  <c r="X5" i="2"/>
  <c r="AO5" i="2" s="1"/>
  <c r="G4" i="2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CS4" i="2" s="1"/>
  <c r="CT4" i="2" s="1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DW4" i="2" s="1"/>
  <c r="DX4" i="2" s="1"/>
  <c r="DY4" i="2" s="1"/>
  <c r="DZ4" i="2" s="1"/>
  <c r="EA4" i="2" s="1"/>
  <c r="EB4" i="2" s="1"/>
  <c r="EC4" i="2" s="1"/>
  <c r="ED4" i="2" s="1"/>
  <c r="EE4" i="2" s="1"/>
  <c r="EF4" i="2" s="1"/>
  <c r="EG4" i="2" s="1"/>
  <c r="EH4" i="2" s="1"/>
  <c r="EI4" i="2" s="1"/>
  <c r="EJ4" i="2" s="1"/>
  <c r="EK4" i="2" s="1"/>
  <c r="EL4" i="2" s="1"/>
  <c r="EM4" i="2" s="1"/>
  <c r="EN4" i="2" s="1"/>
  <c r="EO4" i="2" s="1"/>
  <c r="EP4" i="2" s="1"/>
  <c r="EQ4" i="2" s="1"/>
  <c r="ER4" i="2" s="1"/>
  <c r="ES4" i="2" s="1"/>
  <c r="ET4" i="2" s="1"/>
  <c r="EU4" i="2" s="1"/>
  <c r="EV4" i="2" s="1"/>
  <c r="EW4" i="2" s="1"/>
  <c r="EX4" i="2" s="1"/>
  <c r="EY4" i="2" s="1"/>
  <c r="EZ4" i="2" s="1"/>
  <c r="FA4" i="2" s="1"/>
  <c r="FB4" i="2" s="1"/>
  <c r="FC4" i="2" s="1"/>
  <c r="FD4" i="2" s="1"/>
  <c r="FE4" i="2" s="1"/>
  <c r="FF4" i="2" s="1"/>
  <c r="FG4" i="2" s="1"/>
  <c r="FH4" i="2" s="1"/>
  <c r="FI4" i="2" s="1"/>
  <c r="FJ4" i="2" s="1"/>
  <c r="FK4" i="2" s="1"/>
  <c r="FL4" i="2" s="1"/>
  <c r="FM4" i="2" s="1"/>
  <c r="FN4" i="2" s="1"/>
  <c r="FO4" i="2" s="1"/>
  <c r="FP4" i="2" s="1"/>
  <c r="FQ4" i="2" s="1"/>
  <c r="FR4" i="2" s="1"/>
  <c r="FS4" i="2" s="1"/>
  <c r="FT4" i="2" s="1"/>
  <c r="FU4" i="2" s="1"/>
  <c r="FV4" i="2" s="1"/>
  <c r="FW4" i="2" s="1"/>
  <c r="FX4" i="2" s="1"/>
  <c r="FY4" i="2" s="1"/>
  <c r="FZ4" i="2" s="1"/>
  <c r="GA4" i="2" s="1"/>
  <c r="GB4" i="2" s="1"/>
  <c r="GC4" i="2" s="1"/>
  <c r="GD4" i="2" s="1"/>
  <c r="GE4" i="2" s="1"/>
  <c r="GF4" i="2" s="1"/>
  <c r="GG4" i="2" s="1"/>
  <c r="GH4" i="2" s="1"/>
  <c r="GI4" i="2" s="1"/>
  <c r="GJ4" i="2" s="1"/>
  <c r="GK4" i="2" s="1"/>
  <c r="GL4" i="2" s="1"/>
  <c r="GM4" i="2" s="1"/>
  <c r="GN4" i="2" s="1"/>
  <c r="GO4" i="2" s="1"/>
  <c r="GP4" i="2" s="1"/>
  <c r="GQ4" i="2" s="1"/>
  <c r="GR4" i="2" s="1"/>
  <c r="GS4" i="2" s="1"/>
  <c r="GT4" i="2" s="1"/>
  <c r="GU4" i="2" s="1"/>
  <c r="GV4" i="2" s="1"/>
  <c r="GW4" i="2" s="1"/>
  <c r="GX4" i="2" s="1"/>
  <c r="GY4" i="2" s="1"/>
  <c r="GZ4" i="2" s="1"/>
  <c r="HA4" i="2" s="1"/>
  <c r="HB4" i="2" s="1"/>
  <c r="HC4" i="2" s="1"/>
  <c r="F4" i="2"/>
  <c r="BG3" i="2"/>
  <c r="J3" i="2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I3" i="2"/>
  <c r="I1" i="2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AO1" i="2" s="1"/>
  <c r="AP1" i="2" s="1"/>
  <c r="AQ1" i="2" s="1"/>
  <c r="AR1" i="2" s="1"/>
  <c r="AS1" i="2" s="1"/>
  <c r="AT1" i="2" s="1"/>
  <c r="AU1" i="2" s="1"/>
  <c r="AV1" i="2" s="1"/>
  <c r="AW1" i="2" s="1"/>
  <c r="AX1" i="2" s="1"/>
  <c r="AY1" i="2" s="1"/>
  <c r="AZ1" i="2" s="1"/>
  <c r="BA1" i="2" s="1"/>
  <c r="BB1" i="2" s="1"/>
  <c r="BC1" i="2" s="1"/>
  <c r="BD1" i="2" s="1"/>
  <c r="BE1" i="2" s="1"/>
  <c r="BF1" i="2" s="1"/>
  <c r="BG1" i="2" s="1"/>
  <c r="BH1" i="2" s="1"/>
  <c r="BI1" i="2" s="1"/>
  <c r="BJ1" i="2" s="1"/>
  <c r="BK1" i="2" s="1"/>
  <c r="BL1" i="2" s="1"/>
  <c r="BM1" i="2" s="1"/>
  <c r="BN1" i="2" s="1"/>
  <c r="BO1" i="2" s="1"/>
  <c r="BP1" i="2" s="1"/>
  <c r="BQ1" i="2" s="1"/>
  <c r="BR1" i="2" s="1"/>
  <c r="BS1" i="2" s="1"/>
  <c r="BT1" i="2" s="1"/>
  <c r="BU1" i="2" s="1"/>
  <c r="BV1" i="2" s="1"/>
  <c r="BW1" i="2" s="1"/>
  <c r="BX1" i="2" s="1"/>
  <c r="BY1" i="2" s="1"/>
  <c r="BZ1" i="2" s="1"/>
  <c r="CA1" i="2" s="1"/>
  <c r="CB1" i="2" s="1"/>
  <c r="CC1" i="2" s="1"/>
  <c r="CD1" i="2" s="1"/>
  <c r="CE1" i="2" s="1"/>
  <c r="CF1" i="2" s="1"/>
  <c r="CG1" i="2" s="1"/>
  <c r="CH1" i="2" s="1"/>
  <c r="CI1" i="2" s="1"/>
  <c r="CJ1" i="2" s="1"/>
  <c r="CK1" i="2" s="1"/>
  <c r="CL1" i="2" s="1"/>
  <c r="CM1" i="2" s="1"/>
  <c r="CN1" i="2" s="1"/>
  <c r="CO1" i="2" s="1"/>
  <c r="CP1" i="2" s="1"/>
  <c r="CQ1" i="2" s="1"/>
  <c r="CR1" i="2" s="1"/>
  <c r="CS1" i="2" s="1"/>
  <c r="CT1" i="2" s="1"/>
  <c r="CU1" i="2" s="1"/>
  <c r="CV1" i="2" s="1"/>
  <c r="CW1" i="2" s="1"/>
  <c r="CX1" i="2" s="1"/>
  <c r="CY1" i="2" s="1"/>
  <c r="CZ1" i="2" s="1"/>
  <c r="DA1" i="2" s="1"/>
  <c r="DB1" i="2" s="1"/>
  <c r="DC1" i="2" s="1"/>
  <c r="DD1" i="2" s="1"/>
  <c r="DE1" i="2" s="1"/>
  <c r="DF1" i="2" s="1"/>
  <c r="DG1" i="2" s="1"/>
  <c r="DH1" i="2" s="1"/>
  <c r="DI1" i="2" s="1"/>
  <c r="DJ1" i="2" s="1"/>
  <c r="DK1" i="2" s="1"/>
  <c r="DL1" i="2" s="1"/>
  <c r="DM1" i="2" s="1"/>
  <c r="DN1" i="2" s="1"/>
  <c r="DO1" i="2" s="1"/>
  <c r="DP1" i="2" s="1"/>
  <c r="DQ1" i="2" s="1"/>
  <c r="DR1" i="2" s="1"/>
  <c r="DS1" i="2" s="1"/>
  <c r="DT1" i="2" s="1"/>
  <c r="DU1" i="2" s="1"/>
  <c r="DV1" i="2" s="1"/>
  <c r="DW1" i="2" s="1"/>
  <c r="DX1" i="2" s="1"/>
  <c r="DY1" i="2" s="1"/>
  <c r="DZ1" i="2" s="1"/>
  <c r="EA1" i="2" s="1"/>
  <c r="EB1" i="2" s="1"/>
  <c r="EC1" i="2" s="1"/>
  <c r="ED1" i="2" s="1"/>
  <c r="EE1" i="2" s="1"/>
  <c r="EF1" i="2" s="1"/>
  <c r="EG1" i="2" s="1"/>
  <c r="EH1" i="2" s="1"/>
  <c r="EI1" i="2" s="1"/>
  <c r="EJ1" i="2" s="1"/>
  <c r="EK1" i="2" s="1"/>
  <c r="EL1" i="2" s="1"/>
  <c r="EM1" i="2" s="1"/>
  <c r="EN1" i="2" s="1"/>
  <c r="EO1" i="2" s="1"/>
  <c r="EP1" i="2" s="1"/>
  <c r="EQ1" i="2" s="1"/>
  <c r="ER1" i="2" s="1"/>
  <c r="ES1" i="2" s="1"/>
  <c r="ET1" i="2" s="1"/>
  <c r="EU1" i="2" s="1"/>
  <c r="EV1" i="2" s="1"/>
  <c r="EW1" i="2" s="1"/>
  <c r="EX1" i="2" s="1"/>
  <c r="EY1" i="2" s="1"/>
  <c r="EZ1" i="2" s="1"/>
  <c r="FA1" i="2" s="1"/>
  <c r="FB1" i="2" s="1"/>
  <c r="FC1" i="2" s="1"/>
  <c r="FD1" i="2" s="1"/>
  <c r="FE1" i="2" s="1"/>
  <c r="FF1" i="2" s="1"/>
  <c r="FG1" i="2" s="1"/>
  <c r="FH1" i="2" s="1"/>
  <c r="FI1" i="2" s="1"/>
  <c r="FJ1" i="2" s="1"/>
  <c r="FK1" i="2" s="1"/>
  <c r="FL1" i="2" s="1"/>
  <c r="FM1" i="2" s="1"/>
  <c r="FN1" i="2" s="1"/>
  <c r="FO1" i="2" s="1"/>
  <c r="FP1" i="2" s="1"/>
  <c r="FQ1" i="2" s="1"/>
  <c r="FR1" i="2" s="1"/>
  <c r="FS1" i="2" s="1"/>
  <c r="FT1" i="2" s="1"/>
  <c r="FU1" i="2" s="1"/>
  <c r="FV1" i="2" s="1"/>
  <c r="FW1" i="2" s="1"/>
  <c r="FX1" i="2" s="1"/>
  <c r="FY1" i="2" s="1"/>
  <c r="FZ1" i="2" s="1"/>
  <c r="GA1" i="2" s="1"/>
  <c r="GB1" i="2" s="1"/>
  <c r="GC1" i="2" s="1"/>
  <c r="GD1" i="2" s="1"/>
  <c r="GE1" i="2" s="1"/>
  <c r="GF1" i="2" s="1"/>
  <c r="GG1" i="2" s="1"/>
  <c r="GH1" i="2" s="1"/>
  <c r="GI1" i="2" s="1"/>
  <c r="GJ1" i="2" s="1"/>
  <c r="GK1" i="2" s="1"/>
  <c r="GL1" i="2" s="1"/>
  <c r="GM1" i="2" s="1"/>
  <c r="GN1" i="2" s="1"/>
  <c r="GO1" i="2" s="1"/>
  <c r="GP1" i="2" s="1"/>
  <c r="GQ1" i="2" s="1"/>
  <c r="GR1" i="2" s="1"/>
  <c r="GS1" i="2" s="1"/>
  <c r="GT1" i="2" s="1"/>
  <c r="GU1" i="2" s="1"/>
  <c r="GV1" i="2" s="1"/>
  <c r="GW1" i="2" s="1"/>
  <c r="GX1" i="2" s="1"/>
  <c r="GY1" i="2" s="1"/>
  <c r="GZ1" i="2" s="1"/>
  <c r="HA1" i="2" s="1"/>
  <c r="HB1" i="2" s="1"/>
  <c r="HC1" i="2" s="1"/>
  <c r="H1" i="2"/>
  <c r="G1" i="2"/>
  <c r="F1" i="2"/>
  <c r="C374" i="15" l="1"/>
  <c r="C375" i="15"/>
  <c r="D375" i="15" s="1"/>
  <c r="C376" i="15"/>
  <c r="C369" i="15"/>
  <c r="D369" i="15" s="1"/>
  <c r="C370" i="15"/>
  <c r="H370" i="15" s="1"/>
  <c r="C368" i="15"/>
  <c r="H368" i="15" s="1"/>
  <c r="C357" i="15"/>
  <c r="H357" i="15" s="1"/>
  <c r="C358" i="15"/>
  <c r="H358" i="15" s="1"/>
  <c r="C359" i="15"/>
  <c r="H359" i="15" s="1"/>
  <c r="C360" i="15"/>
  <c r="D360" i="15" s="1"/>
  <c r="C361" i="15"/>
  <c r="H361" i="15" s="1"/>
  <c r="C365" i="15"/>
  <c r="D365" i="15" s="1"/>
  <c r="C366" i="15"/>
  <c r="H366" i="15" s="1"/>
  <c r="C367" i="15"/>
  <c r="F367" i="15" s="1"/>
  <c r="C384" i="15"/>
  <c r="C372" i="15"/>
  <c r="C388" i="15"/>
  <c r="H388" i="15" s="1"/>
  <c r="C373" i="15"/>
  <c r="F373" i="15" s="1"/>
  <c r="C355" i="15"/>
  <c r="H355" i="15" s="1"/>
  <c r="C356" i="15"/>
  <c r="D370" i="15"/>
  <c r="F370" i="15"/>
  <c r="C362" i="15"/>
  <c r="D371" i="15"/>
  <c r="C363" i="15"/>
  <c r="D363" i="15" s="1"/>
  <c r="H371" i="15"/>
  <c r="C364" i="15"/>
  <c r="D364" i="15" s="1"/>
  <c r="I32" i="11"/>
  <c r="I29" i="11"/>
  <c r="J47" i="11" s="1"/>
  <c r="J105" i="13"/>
  <c r="I20" i="13"/>
  <c r="H207" i="13"/>
  <c r="I10" i="19"/>
  <c r="M77" i="4"/>
  <c r="L75" i="4"/>
  <c r="L77" i="4"/>
  <c r="M76" i="4"/>
  <c r="L76" i="4"/>
  <c r="M78" i="4"/>
  <c r="L78" i="4"/>
  <c r="N77" i="4"/>
  <c r="I66" i="4"/>
  <c r="H66" i="4"/>
  <c r="J66" i="4"/>
  <c r="G66" i="4"/>
  <c r="F66" i="4"/>
  <c r="F57" i="4"/>
  <c r="F80" i="10" s="1"/>
  <c r="F80" i="9"/>
  <c r="K9" i="15"/>
  <c r="N7" i="15"/>
  <c r="O9" i="15"/>
  <c r="J105" i="7"/>
  <c r="H207" i="7"/>
  <c r="I20" i="7"/>
  <c r="H99" i="8"/>
  <c r="H100" i="8"/>
  <c r="J97" i="8"/>
  <c r="F9" i="6"/>
  <c r="I7" i="6"/>
  <c r="I9" i="6" s="1"/>
  <c r="D41" i="4"/>
  <c r="I50" i="8" s="1"/>
  <c r="J50" i="8" s="1"/>
  <c r="G50" i="8"/>
  <c r="G50" i="9"/>
  <c r="E41" i="4"/>
  <c r="I50" i="9" s="1"/>
  <c r="J50" i="9" s="1"/>
  <c r="M75" i="4"/>
  <c r="N75" i="4"/>
  <c r="I27" i="7"/>
  <c r="I28" i="7" s="1"/>
  <c r="C49" i="4"/>
  <c r="C56" i="4" s="1"/>
  <c r="C84" i="4" s="1"/>
  <c r="C91" i="4" s="1"/>
  <c r="B3" i="7"/>
  <c r="C14" i="5"/>
  <c r="L65" i="4"/>
  <c r="I54" i="19" s="1"/>
  <c r="H67" i="4"/>
  <c r="I67" i="4"/>
  <c r="G67" i="4"/>
  <c r="F67" i="4"/>
  <c r="N65" i="4"/>
  <c r="I54" i="21" s="1"/>
  <c r="M65" i="4"/>
  <c r="I54" i="20" s="1"/>
  <c r="O257" i="15"/>
  <c r="K257" i="15"/>
  <c r="N255" i="15"/>
  <c r="G50" i="10"/>
  <c r="F41" i="4"/>
  <c r="I50" i="10" s="1"/>
  <c r="J50" i="10" s="1"/>
  <c r="I272" i="9"/>
  <c r="I32" i="7"/>
  <c r="I29" i="7"/>
  <c r="K28" i="8"/>
  <c r="I32" i="8"/>
  <c r="K27" i="8"/>
  <c r="I29" i="8"/>
  <c r="I32" i="9"/>
  <c r="I29" i="9"/>
  <c r="DV5" i="2"/>
  <c r="BW5" i="2"/>
  <c r="BF5" i="2"/>
  <c r="D49" i="4"/>
  <c r="D56" i="4" s="1"/>
  <c r="D84" i="4" s="1"/>
  <c r="D91" i="4" s="1"/>
  <c r="I27" i="8"/>
  <c r="I28" i="8" s="1"/>
  <c r="C15" i="5"/>
  <c r="B3" i="8"/>
  <c r="H207" i="11"/>
  <c r="I20" i="11"/>
  <c r="J105" i="11"/>
  <c r="G344" i="8"/>
  <c r="G345" i="8" s="1"/>
  <c r="G346" i="8" s="1"/>
  <c r="G335" i="8"/>
  <c r="GF25" i="2"/>
  <c r="GE25" i="2"/>
  <c r="N57" i="15"/>
  <c r="G50" i="18"/>
  <c r="K41" i="4"/>
  <c r="I50" i="18" s="1"/>
  <c r="J50" i="20"/>
  <c r="B3" i="20"/>
  <c r="I27" i="20"/>
  <c r="M49" i="4"/>
  <c r="M56" i="4" s="1"/>
  <c r="M84" i="4" s="1"/>
  <c r="M91" i="4" s="1"/>
  <c r="H47" i="13"/>
  <c r="I63" i="4"/>
  <c r="D20" i="5"/>
  <c r="I60" i="4"/>
  <c r="I98" i="13" s="1"/>
  <c r="H29" i="17"/>
  <c r="I29" i="17" s="1"/>
  <c r="H47" i="17"/>
  <c r="H225" i="17" s="1"/>
  <c r="J60" i="4"/>
  <c r="J63" i="4"/>
  <c r="F48" i="10"/>
  <c r="F39" i="4"/>
  <c r="I48" i="10" s="1"/>
  <c r="AE52" i="2"/>
  <c r="G61" i="4"/>
  <c r="I100" i="11" s="1"/>
  <c r="I10" i="11"/>
  <c r="G75" i="4"/>
  <c r="I96" i="11" s="1"/>
  <c r="H96" i="11" s="1"/>
  <c r="K78" i="4"/>
  <c r="G60" i="4"/>
  <c r="I98" i="11" s="1"/>
  <c r="G64" i="4"/>
  <c r="G36" i="4"/>
  <c r="I31" i="11" s="1"/>
  <c r="I93" i="8"/>
  <c r="E72" i="4"/>
  <c r="I94" i="8"/>
  <c r="E73" i="4"/>
  <c r="H29" i="18"/>
  <c r="I29" i="18" s="1"/>
  <c r="H47" i="18"/>
  <c r="H226" i="18" s="1"/>
  <c r="K68" i="4"/>
  <c r="H97" i="18" s="1"/>
  <c r="K66" i="4"/>
  <c r="F105" i="18" s="1"/>
  <c r="K60" i="4"/>
  <c r="F48" i="11"/>
  <c r="G39" i="4"/>
  <c r="I48" i="11" s="1"/>
  <c r="FN25" i="2"/>
  <c r="I10" i="12"/>
  <c r="H79" i="4"/>
  <c r="J101" i="12" s="1"/>
  <c r="H41" i="4"/>
  <c r="I50" i="12" s="1"/>
  <c r="G76" i="4"/>
  <c r="J104" i="11" s="1"/>
  <c r="H61" i="4"/>
  <c r="I100" i="12" s="1"/>
  <c r="H76" i="4"/>
  <c r="J104" i="12" s="1"/>
  <c r="H64" i="4"/>
  <c r="H75" i="4"/>
  <c r="I96" i="12" s="1"/>
  <c r="H36" i="4"/>
  <c r="I31" i="12" s="1"/>
  <c r="I64" i="4"/>
  <c r="J101" i="13" s="1"/>
  <c r="I79" i="4"/>
  <c r="I61" i="4"/>
  <c r="I100" i="13" s="1"/>
  <c r="I10" i="13"/>
  <c r="I76" i="4"/>
  <c r="J104" i="13" s="1"/>
  <c r="I36" i="4"/>
  <c r="I31" i="13" s="1"/>
  <c r="I75" i="4"/>
  <c r="I96" i="13" s="1"/>
  <c r="I11" i="17"/>
  <c r="K94" i="4"/>
  <c r="N155" i="15"/>
  <c r="F63" i="4"/>
  <c r="J309" i="7"/>
  <c r="J310" i="7" s="1"/>
  <c r="N43" i="15"/>
  <c r="G50" i="13"/>
  <c r="I41" i="4"/>
  <c r="I50" i="13" s="1"/>
  <c r="J50" i="13" s="1"/>
  <c r="I104" i="18"/>
  <c r="J104" i="18" s="1"/>
  <c r="I239" i="7"/>
  <c r="I86" i="7"/>
  <c r="B17" i="12"/>
  <c r="G219" i="12"/>
  <c r="G297" i="12" s="1"/>
  <c r="D347" i="12" s="1"/>
  <c r="L203" i="12"/>
  <c r="L295" i="12" s="1"/>
  <c r="L331" i="12" s="1"/>
  <c r="B203" i="12"/>
  <c r="B335" i="12" s="1"/>
  <c r="I27" i="10"/>
  <c r="I28" i="10" s="1"/>
  <c r="B3" i="10"/>
  <c r="C17" i="5"/>
  <c r="F49" i="4"/>
  <c r="F56" i="4" s="1"/>
  <c r="F84" i="4" s="1"/>
  <c r="F91" i="4" s="1"/>
  <c r="J97" i="7"/>
  <c r="H99" i="7"/>
  <c r="H100" i="7"/>
  <c r="H47" i="10"/>
  <c r="N14" i="15"/>
  <c r="P14" i="15"/>
  <c r="I98" i="10"/>
  <c r="I179" i="8"/>
  <c r="P25" i="15"/>
  <c r="M25" i="15"/>
  <c r="Q27" i="15" s="1"/>
  <c r="O166" i="15"/>
  <c r="H335" i="10"/>
  <c r="J325" i="7"/>
  <c r="B88" i="15"/>
  <c r="B89" i="15" s="1"/>
  <c r="B90" i="15" s="1"/>
  <c r="B91" i="15"/>
  <c r="B92" i="15" s="1"/>
  <c r="B93" i="15" s="1"/>
  <c r="B94" i="15" s="1"/>
  <c r="B95" i="15" s="1"/>
  <c r="B96" i="15" s="1"/>
  <c r="B97" i="15" s="1"/>
  <c r="E23" i="5"/>
  <c r="I27" i="18"/>
  <c r="I28" i="18" s="1"/>
  <c r="B3" i="18"/>
  <c r="K49" i="4"/>
  <c r="K56" i="4" s="1"/>
  <c r="K84" i="4" s="1"/>
  <c r="K91" i="4" s="1"/>
  <c r="O205" i="15"/>
  <c r="K205" i="15"/>
  <c r="N203" i="15"/>
  <c r="C20" i="5"/>
  <c r="I27" i="13"/>
  <c r="I28" i="13" s="1"/>
  <c r="B3" i="13"/>
  <c r="I32" i="13"/>
  <c r="I29" i="13"/>
  <c r="H47" i="19"/>
  <c r="H29" i="19"/>
  <c r="M61" i="4"/>
  <c r="I100" i="20" s="1"/>
  <c r="N60" i="4"/>
  <c r="M60" i="4"/>
  <c r="H47" i="20"/>
  <c r="H29" i="20"/>
  <c r="M63" i="4"/>
  <c r="B344" i="12"/>
  <c r="HN25" i="2"/>
  <c r="B3" i="19"/>
  <c r="I27" i="19"/>
  <c r="L49" i="4"/>
  <c r="L56" i="4" s="1"/>
  <c r="L84" i="4" s="1"/>
  <c r="L91" i="4" s="1"/>
  <c r="I29" i="19"/>
  <c r="J50" i="19"/>
  <c r="M14" i="5"/>
  <c r="H95" i="7"/>
  <c r="F80" i="8"/>
  <c r="H47" i="9"/>
  <c r="E63" i="4"/>
  <c r="E60" i="4"/>
  <c r="I98" i="9" s="1"/>
  <c r="D16" i="5"/>
  <c r="B344" i="9"/>
  <c r="B203" i="9"/>
  <c r="B335" i="9" s="1"/>
  <c r="B17" i="9"/>
  <c r="N107" i="15"/>
  <c r="H47" i="11"/>
  <c r="G63" i="4"/>
  <c r="H63" i="4"/>
  <c r="I98" i="12" s="1"/>
  <c r="H47" i="12"/>
  <c r="D19" i="5"/>
  <c r="I17" i="12"/>
  <c r="E19" i="5"/>
  <c r="I179" i="9"/>
  <c r="B186" i="15"/>
  <c r="B187" i="15" s="1"/>
  <c r="B188" i="15" s="1"/>
  <c r="B189" i="15" s="1"/>
  <c r="B184" i="15"/>
  <c r="B185" i="15" s="1"/>
  <c r="J105" i="9"/>
  <c r="I20" i="9"/>
  <c r="H207" i="9"/>
  <c r="G344" i="11"/>
  <c r="G345" i="11" s="1"/>
  <c r="G346" i="11" s="1"/>
  <c r="G335" i="11"/>
  <c r="O67" i="15"/>
  <c r="I10" i="20"/>
  <c r="M36" i="4"/>
  <c r="I31" i="20" s="1"/>
  <c r="J133" i="13"/>
  <c r="J261" i="13"/>
  <c r="I20" i="21"/>
  <c r="H203" i="21"/>
  <c r="I245" i="7"/>
  <c r="H208" i="18"/>
  <c r="I20" i="18"/>
  <c r="I99" i="13"/>
  <c r="J62" i="4"/>
  <c r="L9" i="15"/>
  <c r="L8" i="15"/>
  <c r="M8" i="15" s="1"/>
  <c r="L15" i="5"/>
  <c r="I11" i="8"/>
  <c r="L7" i="15"/>
  <c r="M7" i="15" s="1"/>
  <c r="Q9" i="15" s="1"/>
  <c r="N154" i="15"/>
  <c r="K156" i="15"/>
  <c r="O156" i="15"/>
  <c r="E94" i="4"/>
  <c r="I11" i="9" s="1"/>
  <c r="J105" i="8"/>
  <c r="H207" i="8"/>
  <c r="L203" i="9"/>
  <c r="L295" i="9" s="1"/>
  <c r="L331" i="9" s="1"/>
  <c r="I278" i="9"/>
  <c r="I314" i="9" s="1"/>
  <c r="N49" i="15"/>
  <c r="K50" i="15"/>
  <c r="N343" i="15"/>
  <c r="K343" i="15"/>
  <c r="F239" i="13"/>
  <c r="H203" i="19"/>
  <c r="I20" i="19"/>
  <c r="P284" i="15"/>
  <c r="N284" i="15"/>
  <c r="B3" i="17"/>
  <c r="I27" i="17"/>
  <c r="I32" i="12"/>
  <c r="I29" i="12"/>
  <c r="J57" i="4"/>
  <c r="I20" i="20"/>
  <c r="H203" i="20"/>
  <c r="H207" i="20" s="1"/>
  <c r="I41" i="9"/>
  <c r="J53" i="10"/>
  <c r="K165" i="15"/>
  <c r="O165" i="15"/>
  <c r="N163" i="15"/>
  <c r="J166" i="15"/>
  <c r="J245" i="15"/>
  <c r="I245" i="15"/>
  <c r="N316" i="15"/>
  <c r="K317" i="15"/>
  <c r="G344" i="10"/>
  <c r="G345" i="10" s="1"/>
  <c r="G346" i="10" s="1"/>
  <c r="G335" i="10"/>
  <c r="I278" i="11"/>
  <c r="I314" i="11" s="1"/>
  <c r="I179" i="11"/>
  <c r="P31" i="15"/>
  <c r="N31" i="15"/>
  <c r="O208" i="15"/>
  <c r="K208" i="15"/>
  <c r="N206" i="15"/>
  <c r="N317" i="15"/>
  <c r="I272" i="11"/>
  <c r="F58" i="4"/>
  <c r="I176" i="19"/>
  <c r="I179" i="19" s="1"/>
  <c r="I176" i="20"/>
  <c r="I176" i="21"/>
  <c r="I176" i="13"/>
  <c r="I284" i="13" s="1"/>
  <c r="I320" i="13" s="1"/>
  <c r="I176" i="17"/>
  <c r="I179" i="17" s="1"/>
  <c r="I176" i="10"/>
  <c r="I284" i="10" s="1"/>
  <c r="I320" i="10" s="1"/>
  <c r="I176" i="12"/>
  <c r="I177" i="18"/>
  <c r="I176" i="8"/>
  <c r="I284" i="8" s="1"/>
  <c r="I320" i="8" s="1"/>
  <c r="I176" i="11"/>
  <c r="I284" i="11" s="1"/>
  <c r="I320" i="11" s="1"/>
  <c r="I176" i="7"/>
  <c r="I284" i="7" s="1"/>
  <c r="I320" i="7" s="1"/>
  <c r="I176" i="9"/>
  <c r="I284" i="9" s="1"/>
  <c r="I320" i="9" s="1"/>
  <c r="J41" i="4"/>
  <c r="I50" i="17" s="1"/>
  <c r="J50" i="17" s="1"/>
  <c r="E87" i="4"/>
  <c r="F87" i="4" s="1"/>
  <c r="G87" i="4" s="1"/>
  <c r="H87" i="4" s="1"/>
  <c r="I87" i="4" s="1"/>
  <c r="J87" i="4" s="1"/>
  <c r="K87" i="4" s="1"/>
  <c r="L87" i="4" s="1"/>
  <c r="M87" i="4" s="1"/>
  <c r="N87" i="4" s="1"/>
  <c r="E21" i="5"/>
  <c r="M24" i="5"/>
  <c r="I41" i="20"/>
  <c r="I41" i="18"/>
  <c r="I41" i="21"/>
  <c r="J50" i="21" s="1"/>
  <c r="I41" i="19"/>
  <c r="I41" i="17"/>
  <c r="I41" i="13"/>
  <c r="I41" i="12"/>
  <c r="H29" i="21"/>
  <c r="H47" i="21"/>
  <c r="N63" i="4"/>
  <c r="E17" i="5"/>
  <c r="P126" i="15"/>
  <c r="N126" i="15"/>
  <c r="I10" i="18"/>
  <c r="K76" i="4"/>
  <c r="J105" i="18" s="1"/>
  <c r="K79" i="4"/>
  <c r="K64" i="4"/>
  <c r="F99" i="18" s="1"/>
  <c r="J99" i="18" s="1"/>
  <c r="K75" i="4"/>
  <c r="H92" i="18" s="1"/>
  <c r="F42" i="4"/>
  <c r="G42" i="4" s="1"/>
  <c r="H42" i="4" s="1"/>
  <c r="I42" i="4" s="1"/>
  <c r="J42" i="4" s="1"/>
  <c r="K42" i="4" s="1"/>
  <c r="L42" i="4" s="1"/>
  <c r="M42" i="4" s="1"/>
  <c r="N42" i="4" s="1"/>
  <c r="J221" i="15"/>
  <c r="I222" i="15"/>
  <c r="N265" i="15"/>
  <c r="N291" i="15"/>
  <c r="J133" i="9"/>
  <c r="J261" i="9"/>
  <c r="J261" i="10"/>
  <c r="J133" i="10"/>
  <c r="I310" i="9"/>
  <c r="N35" i="15"/>
  <c r="N267" i="15"/>
  <c r="B13" i="21"/>
  <c r="B13" i="20"/>
  <c r="B13" i="18"/>
  <c r="B2" i="20"/>
  <c r="B2" i="18"/>
  <c r="B2" i="17"/>
  <c r="B13" i="17"/>
  <c r="B13" i="19"/>
  <c r="B2" i="19"/>
  <c r="B2" i="10"/>
  <c r="B2" i="9"/>
  <c r="B13" i="12"/>
  <c r="B2" i="11"/>
  <c r="B13" i="13"/>
  <c r="B13" i="8"/>
  <c r="B83" i="4"/>
  <c r="B2" i="21"/>
  <c r="B2" i="12"/>
  <c r="B2" i="13"/>
  <c r="B2" i="8"/>
  <c r="K36" i="4"/>
  <c r="I31" i="18" s="1"/>
  <c r="K65" i="4"/>
  <c r="I99" i="18" s="1"/>
  <c r="B13" i="9"/>
  <c r="N60" i="15"/>
  <c r="O61" i="15" s="1"/>
  <c r="O74" i="15" s="1"/>
  <c r="J307" i="10"/>
  <c r="J325" i="10"/>
  <c r="J261" i="12"/>
  <c r="O38" i="15"/>
  <c r="N36" i="15"/>
  <c r="N66" i="15"/>
  <c r="K67" i="15"/>
  <c r="N164" i="15"/>
  <c r="L195" i="15"/>
  <c r="M195" i="15" s="1"/>
  <c r="M192" i="15"/>
  <c r="N246" i="15"/>
  <c r="O248" i="15"/>
  <c r="K248" i="15"/>
  <c r="N8" i="15"/>
  <c r="N92" i="15"/>
  <c r="K124" i="15"/>
  <c r="N141" i="15"/>
  <c r="N173" i="15"/>
  <c r="P192" i="15"/>
  <c r="N200" i="15"/>
  <c r="O202" i="15"/>
  <c r="I331" i="15"/>
  <c r="J329" i="15"/>
  <c r="I34" i="10"/>
  <c r="J60" i="10" s="1"/>
  <c r="J61" i="10" s="1"/>
  <c r="K24" i="15"/>
  <c r="P22" i="15"/>
  <c r="N22" i="15"/>
  <c r="O24" i="15"/>
  <c r="J318" i="15"/>
  <c r="I320" i="15"/>
  <c r="B3" i="11"/>
  <c r="I27" i="11"/>
  <c r="I28" i="11" s="1"/>
  <c r="C18" i="5"/>
  <c r="J325" i="11"/>
  <c r="J307" i="11"/>
  <c r="J329" i="13"/>
  <c r="I28" i="15"/>
  <c r="N67" i="15"/>
  <c r="K78" i="15"/>
  <c r="N77" i="15"/>
  <c r="O78" i="15" s="1"/>
  <c r="N85" i="15"/>
  <c r="K87" i="15"/>
  <c r="N93" i="15"/>
  <c r="N124" i="15"/>
  <c r="N149" i="15"/>
  <c r="P149" i="15"/>
  <c r="B160" i="15"/>
  <c r="B158" i="15"/>
  <c r="B159" i="15" s="1"/>
  <c r="N247" i="15"/>
  <c r="P247" i="15"/>
  <c r="O277" i="15"/>
  <c r="K277" i="15"/>
  <c r="N275" i="15"/>
  <c r="N285" i="15"/>
  <c r="N319" i="15"/>
  <c r="I10" i="7"/>
  <c r="N9" i="15"/>
  <c r="P9" i="15"/>
  <c r="P15" i="15"/>
  <c r="M22" i="15"/>
  <c r="Q24" i="15" s="1"/>
  <c r="N37" i="15"/>
  <c r="N109" i="15"/>
  <c r="M247" i="15"/>
  <c r="I308" i="13"/>
  <c r="J308" i="13" s="1"/>
  <c r="K61" i="15"/>
  <c r="N59" i="15"/>
  <c r="N174" i="15"/>
  <c r="O176" i="15" s="1"/>
  <c r="K176" i="15"/>
  <c r="N201" i="15"/>
  <c r="B220" i="15"/>
  <c r="N295" i="15"/>
  <c r="K297" i="15"/>
  <c r="N30" i="15"/>
  <c r="K32" i="15"/>
  <c r="O32" i="15"/>
  <c r="J51" i="15"/>
  <c r="K70" i="15"/>
  <c r="N68" i="15"/>
  <c r="O70" i="15" s="1"/>
  <c r="N86" i="15"/>
  <c r="N286" i="15"/>
  <c r="O288" i="15"/>
  <c r="K288" i="15"/>
  <c r="B344" i="15"/>
  <c r="B342" i="15"/>
  <c r="B343" i="15" s="1"/>
  <c r="N150" i="15"/>
  <c r="N183" i="15"/>
  <c r="K185" i="15"/>
  <c r="N248" i="15"/>
  <c r="N307" i="15"/>
  <c r="P307" i="15"/>
  <c r="K308" i="15"/>
  <c r="K12" i="15"/>
  <c r="O12" i="15"/>
  <c r="K96" i="15"/>
  <c r="N94" i="15"/>
  <c r="K119" i="15"/>
  <c r="O119" i="15"/>
  <c r="M307" i="15"/>
  <c r="L310" i="15"/>
  <c r="M310" i="15" s="1"/>
  <c r="N10" i="15"/>
  <c r="K136" i="15"/>
  <c r="N134" i="15"/>
  <c r="O136" i="15"/>
  <c r="O170" i="15"/>
  <c r="J189" i="15"/>
  <c r="K170" i="15"/>
  <c r="N230" i="15"/>
  <c r="N249" i="15"/>
  <c r="P287" i="15"/>
  <c r="I29" i="20"/>
  <c r="J48" i="8"/>
  <c r="K38" i="15"/>
  <c r="N95" i="15"/>
  <c r="O153" i="15"/>
  <c r="N168" i="15"/>
  <c r="N176" i="15"/>
  <c r="B269" i="15"/>
  <c r="J332" i="15"/>
  <c r="I334" i="15"/>
  <c r="I272" i="8"/>
  <c r="F80" i="12"/>
  <c r="P24" i="15"/>
  <c r="N24" i="15"/>
  <c r="I96" i="15"/>
  <c r="J96" i="15"/>
  <c r="N194" i="15"/>
  <c r="K196" i="15"/>
  <c r="N250" i="15"/>
  <c r="P250" i="15"/>
  <c r="N309" i="15"/>
  <c r="O311" i="15"/>
  <c r="K311" i="15"/>
  <c r="I272" i="10"/>
  <c r="E76" i="4"/>
  <c r="J104" i="9" s="1"/>
  <c r="E36" i="4"/>
  <c r="I31" i="9" s="1"/>
  <c r="G49" i="4"/>
  <c r="G56" i="4" s="1"/>
  <c r="G84" i="4" s="1"/>
  <c r="G91" i="4" s="1"/>
  <c r="C61" i="4"/>
  <c r="I100" i="7" s="1"/>
  <c r="C64" i="4"/>
  <c r="J101" i="7" s="1"/>
  <c r="P17" i="15"/>
  <c r="K18" i="15"/>
  <c r="N17" i="15"/>
  <c r="N61" i="15"/>
  <c r="O87" i="15"/>
  <c r="K231" i="15"/>
  <c r="G41" i="4"/>
  <c r="I50" i="11" s="1"/>
  <c r="J50" i="11" s="1"/>
  <c r="L24" i="15"/>
  <c r="K55" i="15"/>
  <c r="N54" i="15"/>
  <c r="J74" i="15"/>
  <c r="N80" i="15"/>
  <c r="P195" i="15"/>
  <c r="O242" i="15"/>
  <c r="K242" i="15"/>
  <c r="B290" i="15"/>
  <c r="B291" i="15" s="1"/>
  <c r="B292" i="15"/>
  <c r="N310" i="15"/>
  <c r="H207" i="17"/>
  <c r="N88" i="15"/>
  <c r="O90" i="15"/>
  <c r="K90" i="15"/>
  <c r="N136" i="15"/>
  <c r="K147" i="15"/>
  <c r="K166" i="15" s="1"/>
  <c r="N145" i="15"/>
  <c r="N166" i="15" s="1"/>
  <c r="N169" i="15"/>
  <c r="B180" i="15"/>
  <c r="B181" i="15" s="1"/>
  <c r="B182" i="15" s="1"/>
  <c r="B178" i="15"/>
  <c r="B179" i="15" s="1"/>
  <c r="K251" i="15"/>
  <c r="N279" i="15"/>
  <c r="O291" i="15"/>
  <c r="K291" i="15"/>
  <c r="N289" i="15"/>
  <c r="J345" i="15"/>
  <c r="I346" i="15"/>
  <c r="N81" i="15"/>
  <c r="I136" i="15"/>
  <c r="N160" i="15"/>
  <c r="O251" i="15"/>
  <c r="N334" i="15"/>
  <c r="N71" i="15"/>
  <c r="O73" i="15"/>
  <c r="J177" i="15"/>
  <c r="J186" i="15"/>
  <c r="I188" i="15"/>
  <c r="N270" i="15"/>
  <c r="C382" i="15"/>
  <c r="C395" i="15"/>
  <c r="C380" i="15"/>
  <c r="C393" i="15"/>
  <c r="C392" i="15"/>
  <c r="C394" i="15"/>
  <c r="C390" i="15"/>
  <c r="C389" i="15"/>
  <c r="C387" i="15"/>
  <c r="C386" i="15"/>
  <c r="C385" i="15"/>
  <c r="C383" i="15"/>
  <c r="I10" i="17"/>
  <c r="J79" i="4"/>
  <c r="J64" i="4"/>
  <c r="M18" i="15"/>
  <c r="J97" i="15"/>
  <c r="N111" i="15"/>
  <c r="O113" i="15" s="1"/>
  <c r="K153" i="15"/>
  <c r="I170" i="15"/>
  <c r="I189" i="15" s="1"/>
  <c r="N205" i="15"/>
  <c r="L218" i="15"/>
  <c r="M218" i="15" s="1"/>
  <c r="P215" i="15"/>
  <c r="C381" i="15"/>
  <c r="N72" i="15"/>
  <c r="K107" i="15"/>
  <c r="N105" i="15"/>
  <c r="O107" i="15" s="1"/>
  <c r="I130" i="15"/>
  <c r="I143" i="15" s="1"/>
  <c r="N170" i="15"/>
  <c r="N312" i="15"/>
  <c r="O314" i="15" s="1"/>
  <c r="K314" i="15"/>
  <c r="H384" i="15"/>
  <c r="F384" i="15"/>
  <c r="D384" i="15"/>
  <c r="N12" i="15"/>
  <c r="K64" i="15"/>
  <c r="K130" i="15"/>
  <c r="N128" i="15"/>
  <c r="O130" i="15" s="1"/>
  <c r="N242" i="15"/>
  <c r="J262" i="15"/>
  <c r="I262" i="15"/>
  <c r="I281" i="15" s="1"/>
  <c r="K58" i="15"/>
  <c r="N63" i="15"/>
  <c r="O64" i="15" s="1"/>
  <c r="N73" i="15"/>
  <c r="M146" i="15"/>
  <c r="L149" i="15"/>
  <c r="N153" i="15"/>
  <c r="C391" i="15"/>
  <c r="K21" i="15"/>
  <c r="N19" i="15"/>
  <c r="P19" i="15"/>
  <c r="N90" i="15"/>
  <c r="O101" i="15"/>
  <c r="J120" i="15"/>
  <c r="N179" i="15"/>
  <c r="N313" i="15"/>
  <c r="N325" i="15"/>
  <c r="H396" i="15"/>
  <c r="F396" i="15"/>
  <c r="D396" i="15"/>
  <c r="O41" i="15"/>
  <c r="I64" i="15"/>
  <c r="I74" i="15" s="1"/>
  <c r="K73" i="15"/>
  <c r="N99" i="15"/>
  <c r="N234" i="15"/>
  <c r="N271" i="15"/>
  <c r="O303" i="15"/>
  <c r="N301" i="15"/>
  <c r="B123" i="15"/>
  <c r="B124" i="15" s="1"/>
  <c r="B125" i="15"/>
  <c r="K162" i="15"/>
  <c r="N243" i="15"/>
  <c r="N264" i="15"/>
  <c r="K265" i="15"/>
  <c r="J348" i="15"/>
  <c r="I349" i="15"/>
  <c r="N180" i="15"/>
  <c r="K182" i="15"/>
  <c r="N244" i="15"/>
  <c r="P244" i="15"/>
  <c r="J308" i="7"/>
  <c r="H213" i="10"/>
  <c r="G335" i="13"/>
  <c r="G344" i="13"/>
  <c r="G345" i="13" s="1"/>
  <c r="G346" i="13" s="1"/>
  <c r="J42" i="15"/>
  <c r="I84" i="15"/>
  <c r="N130" i="15"/>
  <c r="I199" i="15"/>
  <c r="I212" i="15" s="1"/>
  <c r="J198" i="15"/>
  <c r="L253" i="15"/>
  <c r="M250" i="15"/>
  <c r="N283" i="15"/>
  <c r="J304" i="15"/>
  <c r="K285" i="15"/>
  <c r="O285" i="15"/>
  <c r="O93" i="15"/>
  <c r="K93" i="15"/>
  <c r="N100" i="15"/>
  <c r="P123" i="15"/>
  <c r="N123" i="15"/>
  <c r="N147" i="15"/>
  <c r="N225" i="15"/>
  <c r="M244" i="15"/>
  <c r="N337" i="15"/>
  <c r="O337" i="15" s="1"/>
  <c r="P21" i="15"/>
  <c r="N21" i="15"/>
  <c r="N208" i="15"/>
  <c r="J47" i="10"/>
  <c r="H96" i="10" s="1"/>
  <c r="K101" i="15"/>
  <c r="N218" i="15"/>
  <c r="N274" i="15"/>
  <c r="N87" i="15"/>
  <c r="D68" i="4"/>
  <c r="D64" i="4"/>
  <c r="J101" i="8" s="1"/>
  <c r="D66" i="4"/>
  <c r="I29" i="21"/>
  <c r="N33" i="15"/>
  <c r="O35" i="15"/>
  <c r="K35" i="15"/>
  <c r="K81" i="15"/>
  <c r="K127" i="15"/>
  <c r="N125" i="15"/>
  <c r="O127" i="15"/>
  <c r="N341" i="15"/>
  <c r="O343" i="15"/>
  <c r="H369" i="15"/>
  <c r="F369" i="15"/>
  <c r="N257" i="15"/>
  <c r="N314" i="15"/>
  <c r="I304" i="15"/>
  <c r="N335" i="15"/>
  <c r="K337" i="15"/>
  <c r="H374" i="15"/>
  <c r="F374" i="15"/>
  <c r="D374" i="15"/>
  <c r="B56" i="15"/>
  <c r="B54" i="15"/>
  <c r="B55" i="15" s="1"/>
  <c r="N204" i="15"/>
  <c r="N288" i="15"/>
  <c r="N129" i="15"/>
  <c r="K193" i="15"/>
  <c r="N116" i="15"/>
  <c r="I139" i="15"/>
  <c r="J327" i="15"/>
  <c r="O308" i="15"/>
  <c r="H213" i="11"/>
  <c r="B25" i="15"/>
  <c r="B26" i="15" s="1"/>
  <c r="B27" i="15" s="1"/>
  <c r="B22" i="15"/>
  <c r="N41" i="15"/>
  <c r="K47" i="15"/>
  <c r="J138" i="15"/>
  <c r="K139" i="15" s="1"/>
  <c r="N182" i="15"/>
  <c r="N197" i="15"/>
  <c r="N220" i="15"/>
  <c r="N315" i="15"/>
  <c r="O317" i="15" s="1"/>
  <c r="N184" i="15"/>
  <c r="O185" i="15" s="1"/>
  <c r="H367" i="15"/>
  <c r="D367" i="15"/>
  <c r="I179" i="21"/>
  <c r="I272" i="12"/>
  <c r="I278" i="13"/>
  <c r="I314" i="13" s="1"/>
  <c r="J13" i="15"/>
  <c r="J28" i="15" s="1"/>
  <c r="I15" i="15"/>
  <c r="N178" i="15"/>
  <c r="B195" i="15"/>
  <c r="B196" i="15" s="1"/>
  <c r="B197" i="15"/>
  <c r="N202" i="15"/>
  <c r="I274" i="11"/>
  <c r="N339" i="15"/>
  <c r="M17" i="15"/>
  <c r="L20" i="15"/>
  <c r="K159" i="15"/>
  <c r="K228" i="15"/>
  <c r="N226" i="15"/>
  <c r="O228" i="15" s="1"/>
  <c r="K271" i="15"/>
  <c r="N298" i="15"/>
  <c r="O300" i="15"/>
  <c r="P146" i="15"/>
  <c r="N146" i="15"/>
  <c r="N239" i="15"/>
  <c r="O239" i="15" s="1"/>
  <c r="K262" i="15"/>
  <c r="K281" i="15" s="1"/>
  <c r="O271" i="15"/>
  <c r="J143" i="15"/>
  <c r="N122" i="15"/>
  <c r="O124" i="15"/>
  <c r="K254" i="15"/>
  <c r="N252" i="15"/>
  <c r="O254" i="15"/>
  <c r="P20" i="15"/>
  <c r="N58" i="15"/>
  <c r="K142" i="15"/>
  <c r="N140" i="15"/>
  <c r="O268" i="15"/>
  <c r="K268" i="15"/>
  <c r="K294" i="15"/>
  <c r="P293" i="15"/>
  <c r="I317" i="15"/>
  <c r="I327" i="15" s="1"/>
  <c r="N185" i="15"/>
  <c r="O219" i="15"/>
  <c r="K219" i="15"/>
  <c r="K349" i="15"/>
  <c r="H207" i="21"/>
  <c r="I201" i="21"/>
  <c r="N296" i="15"/>
  <c r="N349" i="15"/>
  <c r="N112" i="15"/>
  <c r="N303" i="15"/>
  <c r="B114" i="15"/>
  <c r="B109" i="15"/>
  <c r="B110" i="15" s="1"/>
  <c r="N131" i="15"/>
  <c r="N223" i="15"/>
  <c r="O225" i="15" s="1"/>
  <c r="B241" i="15"/>
  <c r="B242" i="15" s="1"/>
  <c r="B243" i="15"/>
  <c r="N263" i="15"/>
  <c r="N48" i="15"/>
  <c r="N338" i="15"/>
  <c r="K340" i="15"/>
  <c r="O340" i="15"/>
  <c r="H207" i="19"/>
  <c r="J83" i="15"/>
  <c r="I98" i="18"/>
  <c r="I201" i="19"/>
  <c r="K225" i="15"/>
  <c r="I27" i="21"/>
  <c r="B3" i="21"/>
  <c r="O50" i="15"/>
  <c r="I113" i="15"/>
  <c r="I120" i="15" s="1"/>
  <c r="N277" i="15"/>
  <c r="I179" i="20"/>
  <c r="I216" i="15"/>
  <c r="I235" i="15" s="1"/>
  <c r="J214" i="15"/>
  <c r="M238" i="15"/>
  <c r="N321" i="15"/>
  <c r="I97" i="18"/>
  <c r="J95" i="18" s="1"/>
  <c r="I78" i="15"/>
  <c r="I97" i="15" s="1"/>
  <c r="N294" i="15"/>
  <c r="N344" i="15"/>
  <c r="I166" i="15"/>
  <c r="K280" i="15"/>
  <c r="O280" i="15"/>
  <c r="B309" i="15"/>
  <c r="B307" i="15"/>
  <c r="B308" i="15" s="1"/>
  <c r="K326" i="15"/>
  <c r="I180" i="18"/>
  <c r="K234" i="15"/>
  <c r="I239" i="15"/>
  <c r="G400" i="15"/>
  <c r="F360" i="15" l="1"/>
  <c r="F366" i="15"/>
  <c r="D366" i="15"/>
  <c r="E366" i="15" s="1"/>
  <c r="H360" i="15"/>
  <c r="I360" i="15" s="1"/>
  <c r="F359" i="15"/>
  <c r="F361" i="15"/>
  <c r="D358" i="15"/>
  <c r="D359" i="15"/>
  <c r="D361" i="15"/>
  <c r="F365" i="15"/>
  <c r="H365" i="15"/>
  <c r="F358" i="15"/>
  <c r="D357" i="15"/>
  <c r="F357" i="15"/>
  <c r="D368" i="15"/>
  <c r="E369" i="15" s="1"/>
  <c r="F368" i="15"/>
  <c r="G369" i="15" s="1"/>
  <c r="H375" i="15"/>
  <c r="F375" i="15"/>
  <c r="G375" i="15" s="1"/>
  <c r="D373" i="15"/>
  <c r="E375" i="15" s="1"/>
  <c r="H373" i="15"/>
  <c r="F363" i="15"/>
  <c r="H363" i="15"/>
  <c r="F388" i="15"/>
  <c r="F364" i="15"/>
  <c r="D388" i="15"/>
  <c r="H364" i="15"/>
  <c r="H362" i="15"/>
  <c r="F362" i="15"/>
  <c r="D362" i="15"/>
  <c r="E363" i="15" s="1"/>
  <c r="D356" i="15"/>
  <c r="H356" i="15"/>
  <c r="I357" i="15" s="1"/>
  <c r="F356" i="15"/>
  <c r="F355" i="15"/>
  <c r="D355" i="15"/>
  <c r="H372" i="15"/>
  <c r="I372" i="15" s="1"/>
  <c r="D372" i="15"/>
  <c r="E372" i="15" s="1"/>
  <c r="F372" i="15"/>
  <c r="G372" i="15" s="1"/>
  <c r="J97" i="12"/>
  <c r="H100" i="12"/>
  <c r="H99" i="12"/>
  <c r="N327" i="15"/>
  <c r="J47" i="18"/>
  <c r="I38" i="18"/>
  <c r="I32" i="18"/>
  <c r="B204" i="18"/>
  <c r="B17" i="18"/>
  <c r="I308" i="9"/>
  <c r="J308" i="9" s="1"/>
  <c r="H335" i="7"/>
  <c r="B203" i="20"/>
  <c r="B17" i="20"/>
  <c r="F239" i="12"/>
  <c r="I308" i="8"/>
  <c r="J308" i="8" s="1"/>
  <c r="B345" i="15"/>
  <c r="B346" i="15" s="1"/>
  <c r="B347" i="15"/>
  <c r="B348" i="15" s="1"/>
  <c r="B349" i="15" s="1"/>
  <c r="B350" i="15" s="1"/>
  <c r="H344" i="9"/>
  <c r="H345" i="9" s="1"/>
  <c r="H346" i="9" s="1"/>
  <c r="H335" i="9"/>
  <c r="J50" i="18"/>
  <c r="M149" i="15"/>
  <c r="L152" i="15"/>
  <c r="D382" i="15"/>
  <c r="H382" i="15"/>
  <c r="F382" i="15"/>
  <c r="H344" i="8"/>
  <c r="H345" i="8" s="1"/>
  <c r="H346" i="8" s="1"/>
  <c r="H335" i="8"/>
  <c r="J329" i="7"/>
  <c r="O265" i="15"/>
  <c r="P218" i="15"/>
  <c r="K188" i="15"/>
  <c r="K189" i="15" s="1"/>
  <c r="O188" i="15"/>
  <c r="N186" i="15"/>
  <c r="B203" i="19"/>
  <c r="B17" i="19"/>
  <c r="P7" i="15"/>
  <c r="L256" i="15"/>
  <c r="M253" i="15"/>
  <c r="P253" i="15"/>
  <c r="N198" i="15"/>
  <c r="O199" i="15" s="1"/>
  <c r="O212" i="15" s="1"/>
  <c r="I32" i="19"/>
  <c r="J47" i="19"/>
  <c r="I38" i="19"/>
  <c r="K44" i="15"/>
  <c r="N42" i="15"/>
  <c r="O44" i="15" s="1"/>
  <c r="O51" i="15" s="1"/>
  <c r="N177" i="15"/>
  <c r="O179" i="15"/>
  <c r="O189" i="15" s="1"/>
  <c r="K179" i="15"/>
  <c r="N332" i="15"/>
  <c r="O334" i="15" s="1"/>
  <c r="K334" i="15"/>
  <c r="H339" i="9"/>
  <c r="H213" i="9"/>
  <c r="I345" i="10"/>
  <c r="J345" i="10" s="1"/>
  <c r="I346" i="10"/>
  <c r="J346" i="10" s="1"/>
  <c r="K28" i="15"/>
  <c r="K120" i="15"/>
  <c r="R101" i="15"/>
  <c r="N245" i="15"/>
  <c r="O245" i="15" s="1"/>
  <c r="O258" i="15" s="1"/>
  <c r="K245" i="15"/>
  <c r="K258" i="15" s="1"/>
  <c r="F73" i="4"/>
  <c r="I94" i="9"/>
  <c r="F239" i="9"/>
  <c r="I80" i="9"/>
  <c r="B246" i="15"/>
  <c r="B244" i="15"/>
  <c r="B245" i="15" s="1"/>
  <c r="P13" i="15"/>
  <c r="Q15" i="15" s="1"/>
  <c r="K15" i="15"/>
  <c r="N13" i="15"/>
  <c r="O15" i="15" s="1"/>
  <c r="O28" i="15" s="1"/>
  <c r="J49" i="10"/>
  <c r="J48" i="10"/>
  <c r="I92" i="10"/>
  <c r="I80" i="10"/>
  <c r="F239" i="10"/>
  <c r="I179" i="13"/>
  <c r="K199" i="15"/>
  <c r="K212" i="15" s="1"/>
  <c r="I20" i="12"/>
  <c r="J105" i="12"/>
  <c r="H207" i="12"/>
  <c r="I93" i="9"/>
  <c r="F72" i="4"/>
  <c r="N120" i="15"/>
  <c r="D381" i="15"/>
  <c r="F381" i="15"/>
  <c r="H381" i="15"/>
  <c r="B272" i="15"/>
  <c r="B273" i="15" s="1"/>
  <c r="B274" i="15" s="1"/>
  <c r="B270" i="15"/>
  <c r="B271" i="15" s="1"/>
  <c r="B275" i="15"/>
  <c r="K143" i="15"/>
  <c r="N214" i="15"/>
  <c r="K216" i="15"/>
  <c r="K235" i="15" s="1"/>
  <c r="J235" i="15"/>
  <c r="O216" i="15"/>
  <c r="O235" i="15" s="1"/>
  <c r="I308" i="12"/>
  <c r="J308" i="12" s="1"/>
  <c r="J92" i="8"/>
  <c r="H95" i="8"/>
  <c r="J309" i="13"/>
  <c r="J310" i="13" s="1"/>
  <c r="J311" i="7"/>
  <c r="J281" i="15"/>
  <c r="N262" i="15"/>
  <c r="N189" i="15"/>
  <c r="I11" i="18"/>
  <c r="L94" i="4"/>
  <c r="I179" i="7"/>
  <c r="I179" i="10"/>
  <c r="I258" i="15"/>
  <c r="P310" i="15"/>
  <c r="I33" i="10"/>
  <c r="N221" i="15"/>
  <c r="O222" i="15" s="1"/>
  <c r="K222" i="15"/>
  <c r="H213" i="8"/>
  <c r="H339" i="8"/>
  <c r="H213" i="17"/>
  <c r="J97" i="10"/>
  <c r="H100" i="10"/>
  <c r="H99" i="10"/>
  <c r="B126" i="15"/>
  <c r="B127" i="15" s="1"/>
  <c r="B128" i="15"/>
  <c r="H96" i="13"/>
  <c r="H100" i="11"/>
  <c r="H99" i="11"/>
  <c r="J97" i="11"/>
  <c r="H344" i="11"/>
  <c r="H345" i="11" s="1"/>
  <c r="H346" i="11" s="1"/>
  <c r="H335" i="11"/>
  <c r="L203" i="7"/>
  <c r="L295" i="7" s="1"/>
  <c r="L331" i="7" s="1"/>
  <c r="B203" i="7"/>
  <c r="B335" i="7" s="1"/>
  <c r="B344" i="7"/>
  <c r="G219" i="7"/>
  <c r="G297" i="7" s="1"/>
  <c r="D347" i="7" s="1"/>
  <c r="B17" i="7"/>
  <c r="M15" i="5"/>
  <c r="L16" i="5"/>
  <c r="J329" i="11"/>
  <c r="J47" i="12"/>
  <c r="I38" i="12"/>
  <c r="I308" i="10"/>
  <c r="J308" i="10" s="1"/>
  <c r="I38" i="13"/>
  <c r="J47" i="13"/>
  <c r="K51" i="15"/>
  <c r="B17" i="17"/>
  <c r="B203" i="17"/>
  <c r="G219" i="13"/>
  <c r="G297" i="13" s="1"/>
  <c r="D347" i="13" s="1"/>
  <c r="B344" i="13"/>
  <c r="B203" i="13"/>
  <c r="B335" i="13" s="1"/>
  <c r="L203" i="13"/>
  <c r="L295" i="13" s="1"/>
  <c r="L331" i="13" s="1"/>
  <c r="B17" i="13"/>
  <c r="B295" i="15"/>
  <c r="B296" i="15" s="1"/>
  <c r="B297" i="15" s="1"/>
  <c r="B293" i="15"/>
  <c r="B294" i="15" s="1"/>
  <c r="B298" i="15"/>
  <c r="F380" i="15"/>
  <c r="H380" i="15"/>
  <c r="B344" i="8"/>
  <c r="G219" i="8"/>
  <c r="G297" i="8" s="1"/>
  <c r="D347" i="8" s="1"/>
  <c r="L203" i="8"/>
  <c r="L295" i="8" s="1"/>
  <c r="L331" i="8" s="1"/>
  <c r="B203" i="8"/>
  <c r="B335" i="8" s="1"/>
  <c r="B17" i="8"/>
  <c r="B117" i="15"/>
  <c r="B118" i="15" s="1"/>
  <c r="B119" i="15" s="1"/>
  <c r="B120" i="15" s="1"/>
  <c r="B115" i="15"/>
  <c r="B116" i="15" s="1"/>
  <c r="F80" i="17"/>
  <c r="K57" i="4"/>
  <c r="I99" i="17"/>
  <c r="K62" i="4"/>
  <c r="L62" i="4" s="1"/>
  <c r="H80" i="10"/>
  <c r="H239" i="10" s="1"/>
  <c r="G58" i="4"/>
  <c r="I369" i="15"/>
  <c r="I38" i="20"/>
  <c r="J47" i="20"/>
  <c r="I32" i="20"/>
  <c r="J329" i="10"/>
  <c r="B200" i="15"/>
  <c r="B198" i="15"/>
  <c r="B199" i="15" s="1"/>
  <c r="B161" i="15"/>
  <c r="B162" i="15" s="1"/>
  <c r="B163" i="15"/>
  <c r="B164" i="15" s="1"/>
  <c r="B165" i="15" s="1"/>
  <c r="B166" i="15" s="1"/>
  <c r="M9" i="15"/>
  <c r="L10" i="15"/>
  <c r="B203" i="11"/>
  <c r="B335" i="11" s="1"/>
  <c r="G219" i="11"/>
  <c r="G297" i="11" s="1"/>
  <c r="D347" i="11" s="1"/>
  <c r="L203" i="11"/>
  <c r="L295" i="11" s="1"/>
  <c r="L331" i="11" s="1"/>
  <c r="B17" i="11"/>
  <c r="B344" i="11"/>
  <c r="O297" i="15"/>
  <c r="I38" i="9"/>
  <c r="J47" i="9"/>
  <c r="B223" i="15"/>
  <c r="B221" i="15"/>
  <c r="B222" i="15" s="1"/>
  <c r="K320" i="15"/>
  <c r="N318" i="15"/>
  <c r="O320" i="15" s="1"/>
  <c r="O327" i="15" s="1"/>
  <c r="J96" i="18"/>
  <c r="I98" i="17"/>
  <c r="G100" i="18"/>
  <c r="H100" i="18" s="1"/>
  <c r="I38" i="8"/>
  <c r="J47" i="8"/>
  <c r="J97" i="18"/>
  <c r="B312" i="15"/>
  <c r="B310" i="15"/>
  <c r="B311" i="15" s="1"/>
  <c r="O304" i="15"/>
  <c r="H387" i="15"/>
  <c r="D387" i="15"/>
  <c r="F387" i="15"/>
  <c r="K74" i="15"/>
  <c r="H344" i="13"/>
  <c r="H345" i="13" s="1"/>
  <c r="H346" i="13" s="1"/>
  <c r="H335" i="13"/>
  <c r="I38" i="21"/>
  <c r="I32" i="21"/>
  <c r="J47" i="21"/>
  <c r="K304" i="15"/>
  <c r="F389" i="15"/>
  <c r="D389" i="15"/>
  <c r="H389" i="15"/>
  <c r="H99" i="9"/>
  <c r="H100" i="9"/>
  <c r="J97" i="9"/>
  <c r="I38" i="17"/>
  <c r="I32" i="17"/>
  <c r="J47" i="17"/>
  <c r="I34" i="8"/>
  <c r="J60" i="8" s="1"/>
  <c r="J61" i="8" s="1"/>
  <c r="I33" i="8"/>
  <c r="I39" i="8"/>
  <c r="J53" i="8" s="1"/>
  <c r="J154" i="10"/>
  <c r="J157" i="10" s="1"/>
  <c r="J192" i="10" s="1"/>
  <c r="J154" i="12"/>
  <c r="J157" i="12" s="1"/>
  <c r="J192" i="12" s="1"/>
  <c r="J154" i="11"/>
  <c r="J157" i="11" s="1"/>
  <c r="J192" i="11" s="1"/>
  <c r="J154" i="7"/>
  <c r="J157" i="7" s="1"/>
  <c r="J192" i="7" s="1"/>
  <c r="J154" i="13"/>
  <c r="J157" i="13" s="1"/>
  <c r="J192" i="13" s="1"/>
  <c r="J154" i="9"/>
  <c r="J157" i="9" s="1"/>
  <c r="J192" i="9" s="1"/>
  <c r="J154" i="8"/>
  <c r="J157" i="8" s="1"/>
  <c r="J192" i="8" s="1"/>
  <c r="N345" i="15"/>
  <c r="O346" i="15" s="1"/>
  <c r="K346" i="15"/>
  <c r="M20" i="15"/>
  <c r="L23" i="15"/>
  <c r="O120" i="15"/>
  <c r="F386" i="15"/>
  <c r="D386" i="15"/>
  <c r="H386" i="15"/>
  <c r="K327" i="15"/>
  <c r="N348" i="15"/>
  <c r="O349" i="15" s="1"/>
  <c r="I34" i="12"/>
  <c r="I33" i="12"/>
  <c r="I39" i="12"/>
  <c r="J53" i="12" s="1"/>
  <c r="I179" i="12"/>
  <c r="I284" i="12"/>
  <c r="I320" i="12" s="1"/>
  <c r="B203" i="21"/>
  <c r="B17" i="21"/>
  <c r="J212" i="15"/>
  <c r="J352" i="15" s="1"/>
  <c r="I308" i="11"/>
  <c r="J308" i="11" s="1"/>
  <c r="J309" i="11" s="1"/>
  <c r="J258" i="15"/>
  <c r="F383" i="15"/>
  <c r="H383" i="15"/>
  <c r="D383" i="15"/>
  <c r="D385" i="15"/>
  <c r="F385" i="15"/>
  <c r="H385" i="15"/>
  <c r="L203" i="10"/>
  <c r="L295" i="10" s="1"/>
  <c r="L331" i="10" s="1"/>
  <c r="G219" i="10"/>
  <c r="G297" i="10" s="1"/>
  <c r="D347" i="10" s="1"/>
  <c r="B203" i="10"/>
  <c r="B335" i="10" s="1"/>
  <c r="B17" i="10"/>
  <c r="B344" i="10"/>
  <c r="H96" i="12"/>
  <c r="I39" i="9"/>
  <c r="J53" i="9" s="1"/>
  <c r="I34" i="9"/>
  <c r="J60" i="9" s="1"/>
  <c r="J61" i="9" s="1"/>
  <c r="I33" i="9"/>
  <c r="N74" i="15"/>
  <c r="H390" i="15"/>
  <c r="F390" i="15"/>
  <c r="D390" i="15"/>
  <c r="H100" i="13"/>
  <c r="H99" i="13"/>
  <c r="J97" i="13"/>
  <c r="I310" i="11"/>
  <c r="N138" i="15"/>
  <c r="O139" i="15" s="1"/>
  <c r="O143" i="15" s="1"/>
  <c r="D394" i="15"/>
  <c r="F394" i="15"/>
  <c r="H394" i="15"/>
  <c r="L27" i="15"/>
  <c r="M24" i="15"/>
  <c r="N96" i="15"/>
  <c r="O96" i="15" s="1"/>
  <c r="P8" i="15"/>
  <c r="J50" i="12"/>
  <c r="I38" i="7"/>
  <c r="J50" i="7"/>
  <c r="J47" i="7"/>
  <c r="J56" i="11"/>
  <c r="J57" i="11" s="1"/>
  <c r="I92" i="11"/>
  <c r="J49" i="11"/>
  <c r="J48" i="11"/>
  <c r="B57" i="15"/>
  <c r="B58" i="15" s="1"/>
  <c r="B59" i="15"/>
  <c r="N304" i="15"/>
  <c r="F392" i="15"/>
  <c r="H392" i="15"/>
  <c r="D392" i="15"/>
  <c r="K331" i="15"/>
  <c r="O331" i="15"/>
  <c r="N329" i="15"/>
  <c r="N350" i="15" s="1"/>
  <c r="J350" i="15"/>
  <c r="I133" i="7"/>
  <c r="I261" i="7" s="1"/>
  <c r="I39" i="7"/>
  <c r="J53" i="7" s="1"/>
  <c r="I33" i="7"/>
  <c r="I34" i="7"/>
  <c r="J60" i="7" s="1"/>
  <c r="J61" i="7" s="1"/>
  <c r="I39" i="11"/>
  <c r="J53" i="11" s="1"/>
  <c r="I38" i="11"/>
  <c r="I34" i="11"/>
  <c r="J60" i="11" s="1"/>
  <c r="J61" i="11" s="1"/>
  <c r="I33" i="11"/>
  <c r="H395" i="15"/>
  <c r="I397" i="15" s="1"/>
  <c r="F395" i="15"/>
  <c r="G397" i="15" s="1"/>
  <c r="D395" i="15"/>
  <c r="E397" i="15" s="1"/>
  <c r="J311" i="10"/>
  <c r="J309" i="10"/>
  <c r="J310" i="10" s="1"/>
  <c r="I39" i="13"/>
  <c r="J53" i="13" s="1"/>
  <c r="I33" i="13"/>
  <c r="I34" i="13"/>
  <c r="J60" i="13" s="1"/>
  <c r="J61" i="13" s="1"/>
  <c r="N83" i="15"/>
  <c r="O84" i="15" s="1"/>
  <c r="O97" i="15" s="1"/>
  <c r="K84" i="15"/>
  <c r="K97" i="15" s="1"/>
  <c r="H391" i="15"/>
  <c r="D391" i="15"/>
  <c r="F391" i="15"/>
  <c r="H393" i="15"/>
  <c r="F393" i="15"/>
  <c r="D393" i="15"/>
  <c r="I350" i="15"/>
  <c r="I352" i="15" s="1"/>
  <c r="I80" i="8"/>
  <c r="F239" i="8"/>
  <c r="G366" i="15" l="1"/>
  <c r="I366" i="15"/>
  <c r="E360" i="15"/>
  <c r="G360" i="15"/>
  <c r="I363" i="15"/>
  <c r="I375" i="15"/>
  <c r="G388" i="15"/>
  <c r="G357" i="15"/>
  <c r="E357" i="15"/>
  <c r="I388" i="15"/>
  <c r="E388" i="15"/>
  <c r="F377" i="15"/>
  <c r="D377" i="15"/>
  <c r="G363" i="15"/>
  <c r="I385" i="15"/>
  <c r="H377" i="15"/>
  <c r="J54" i="20"/>
  <c r="J56" i="20" s="1"/>
  <c r="J58" i="10"/>
  <c r="O352" i="15"/>
  <c r="M16" i="5"/>
  <c r="L17" i="5"/>
  <c r="I92" i="9"/>
  <c r="J48" i="9"/>
  <c r="J49" i="9"/>
  <c r="H96" i="9"/>
  <c r="J311" i="13"/>
  <c r="I224" i="12"/>
  <c r="J224" i="12" s="1"/>
  <c r="I36" i="12"/>
  <c r="I51" i="12" s="1"/>
  <c r="J51" i="12" s="1"/>
  <c r="I222" i="12"/>
  <c r="J222" i="12" s="1"/>
  <c r="I37" i="12"/>
  <c r="I55" i="12" s="1"/>
  <c r="J55" i="12" s="1"/>
  <c r="I35" i="12"/>
  <c r="J52" i="12" s="1"/>
  <c r="I223" i="12"/>
  <c r="J223" i="12" s="1"/>
  <c r="N258" i="15"/>
  <c r="E394" i="15"/>
  <c r="E391" i="15"/>
  <c r="M256" i="15"/>
  <c r="L259" i="15"/>
  <c r="P256" i="15"/>
  <c r="B229" i="15"/>
  <c r="B226" i="15"/>
  <c r="B227" i="15" s="1"/>
  <c r="B228" i="15" s="1"/>
  <c r="B224" i="15"/>
  <c r="B225" i="15" s="1"/>
  <c r="I391" i="15"/>
  <c r="I394" i="15"/>
  <c r="G391" i="15"/>
  <c r="N97" i="15"/>
  <c r="K352" i="15"/>
  <c r="J309" i="8"/>
  <c r="J310" i="8" s="1"/>
  <c r="J311" i="8" s="1"/>
  <c r="O350" i="15"/>
  <c r="K350" i="15"/>
  <c r="J52" i="9"/>
  <c r="G394" i="15"/>
  <c r="I224" i="10"/>
  <c r="J224" i="10" s="1"/>
  <c r="I223" i="10"/>
  <c r="J223" i="10" s="1"/>
  <c r="I222" i="10"/>
  <c r="J222" i="10" s="1"/>
  <c r="I37" i="10"/>
  <c r="I54" i="10" s="1"/>
  <c r="J54" i="10" s="1"/>
  <c r="J56" i="10" s="1"/>
  <c r="I36" i="10"/>
  <c r="I51" i="10" s="1"/>
  <c r="J51" i="10" s="1"/>
  <c r="I35" i="10"/>
  <c r="J52" i="10" s="1"/>
  <c r="B278" i="15"/>
  <c r="B279" i="15" s="1"/>
  <c r="B280" i="15" s="1"/>
  <c r="B281" i="15" s="1"/>
  <c r="B276" i="15"/>
  <c r="B277" i="15" s="1"/>
  <c r="I35" i="9"/>
  <c r="I54" i="9" s="1"/>
  <c r="J54" i="9" s="1"/>
  <c r="I222" i="9"/>
  <c r="J222" i="9" s="1"/>
  <c r="I37" i="9"/>
  <c r="I55" i="9" s="1"/>
  <c r="J55" i="9" s="1"/>
  <c r="I36" i="9"/>
  <c r="I51" i="9" s="1"/>
  <c r="J51" i="9" s="1"/>
  <c r="I224" i="9"/>
  <c r="J224" i="9" s="1"/>
  <c r="I223" i="9"/>
  <c r="J223" i="9" s="1"/>
  <c r="J49" i="21"/>
  <c r="I92" i="21"/>
  <c r="J48" i="21"/>
  <c r="J54" i="21" s="1"/>
  <c r="I382" i="15"/>
  <c r="H402" i="15"/>
  <c r="I93" i="10"/>
  <c r="G72" i="4"/>
  <c r="B60" i="15"/>
  <c r="B61" i="15" s="1"/>
  <c r="B62" i="15"/>
  <c r="I39" i="21"/>
  <c r="J53" i="21" s="1"/>
  <c r="I36" i="21"/>
  <c r="J51" i="21" s="1"/>
  <c r="F402" i="15"/>
  <c r="G382" i="15"/>
  <c r="I11" i="19"/>
  <c r="M94" i="4"/>
  <c r="J92" i="9"/>
  <c r="H95" i="9"/>
  <c r="B299" i="15"/>
  <c r="B300" i="15" s="1"/>
  <c r="B301" i="15"/>
  <c r="B302" i="15" s="1"/>
  <c r="B303" i="15" s="1"/>
  <c r="B304" i="15" s="1"/>
  <c r="H214" i="18"/>
  <c r="H344" i="12"/>
  <c r="H345" i="12" s="1"/>
  <c r="H346" i="12" s="1"/>
  <c r="H335" i="12"/>
  <c r="N281" i="15"/>
  <c r="O262" i="15"/>
  <c r="O281" i="15" s="1"/>
  <c r="H344" i="7"/>
  <c r="H345" i="7" s="1"/>
  <c r="H346" i="7" s="1"/>
  <c r="I345" i="7"/>
  <c r="J345" i="7" s="1"/>
  <c r="I346" i="7"/>
  <c r="J346" i="7" s="1"/>
  <c r="N28" i="15"/>
  <c r="L26" i="15"/>
  <c r="P23" i="15"/>
  <c r="M23" i="15"/>
  <c r="B203" i="15"/>
  <c r="B204" i="15" s="1"/>
  <c r="B205" i="15" s="1"/>
  <c r="B201" i="15"/>
  <c r="B202" i="15" s="1"/>
  <c r="B206" i="15"/>
  <c r="B131" i="15"/>
  <c r="B129" i="15"/>
  <c r="B130" i="15" s="1"/>
  <c r="J311" i="11"/>
  <c r="I345" i="13"/>
  <c r="J345" i="13" s="1"/>
  <c r="I346" i="13"/>
  <c r="J346" i="13" s="1"/>
  <c r="J49" i="18"/>
  <c r="F92" i="18"/>
  <c r="I92" i="18" s="1"/>
  <c r="J48" i="18"/>
  <c r="I33" i="18" s="1"/>
  <c r="I92" i="7"/>
  <c r="C78" i="4"/>
  <c r="J103" i="7" s="1"/>
  <c r="J48" i="7"/>
  <c r="J49" i="7"/>
  <c r="H96" i="7"/>
  <c r="J92" i="7"/>
  <c r="I86" i="10"/>
  <c r="I239" i="10"/>
  <c r="I245" i="10" s="1"/>
  <c r="J315" i="10"/>
  <c r="J321" i="10" s="1"/>
  <c r="J320" i="10"/>
  <c r="J314" i="10"/>
  <c r="B315" i="15"/>
  <c r="B313" i="15"/>
  <c r="B314" i="15" s="1"/>
  <c r="M10" i="15"/>
  <c r="Q12" i="15" s="1"/>
  <c r="Q28" i="15" s="1"/>
  <c r="L11" i="15"/>
  <c r="P10" i="15"/>
  <c r="I39" i="18"/>
  <c r="I36" i="18"/>
  <c r="G385" i="15"/>
  <c r="I92" i="20"/>
  <c r="J48" i="20"/>
  <c r="I33" i="20" s="1"/>
  <c r="J49" i="20"/>
  <c r="J55" i="20"/>
  <c r="L30" i="15"/>
  <c r="M27" i="15"/>
  <c r="P27" i="15"/>
  <c r="J309" i="9"/>
  <c r="J310" i="9" s="1"/>
  <c r="J311" i="9"/>
  <c r="J49" i="8"/>
  <c r="D78" i="4"/>
  <c r="J103" i="8" s="1"/>
  <c r="J106" i="8" s="1"/>
  <c r="J114" i="8" s="1"/>
  <c r="I92" i="8"/>
  <c r="H96" i="8"/>
  <c r="J49" i="13"/>
  <c r="J48" i="13"/>
  <c r="I92" i="13"/>
  <c r="E38" i="8"/>
  <c r="N51" i="15"/>
  <c r="G102" i="18"/>
  <c r="J101" i="18"/>
  <c r="J309" i="12"/>
  <c r="J310" i="12" s="1"/>
  <c r="I223" i="8"/>
  <c r="J223" i="8" s="1"/>
  <c r="I35" i="8"/>
  <c r="I54" i="8" s="1"/>
  <c r="J54" i="8" s="1"/>
  <c r="J56" i="8" s="1"/>
  <c r="I36" i="8"/>
  <c r="I51" i="8" s="1"/>
  <c r="J51" i="8" s="1"/>
  <c r="I37" i="8"/>
  <c r="I55" i="8" s="1"/>
  <c r="J55" i="8" s="1"/>
  <c r="I224" i="8"/>
  <c r="J224" i="8" s="1"/>
  <c r="I222" i="8"/>
  <c r="J222" i="8" s="1"/>
  <c r="B249" i="15"/>
  <c r="B250" i="15" s="1"/>
  <c r="B251" i="15" s="1"/>
  <c r="B252" i="15"/>
  <c r="B247" i="15"/>
  <c r="B248" i="15" s="1"/>
  <c r="M152" i="15"/>
  <c r="L155" i="15"/>
  <c r="P152" i="15"/>
  <c r="I345" i="8"/>
  <c r="J345" i="8" s="1"/>
  <c r="I346" i="8"/>
  <c r="J346" i="8" s="1"/>
  <c r="I36" i="7"/>
  <c r="I51" i="7" s="1"/>
  <c r="J51" i="7" s="1"/>
  <c r="I35" i="7"/>
  <c r="I54" i="7" s="1"/>
  <c r="J54" i="7" s="1"/>
  <c r="J56" i="7" s="1"/>
  <c r="I224" i="7"/>
  <c r="J224" i="7" s="1"/>
  <c r="I223" i="7"/>
  <c r="J223" i="7" s="1"/>
  <c r="I37" i="7"/>
  <c r="I55" i="7" s="1"/>
  <c r="J55" i="7" s="1"/>
  <c r="I222" i="7"/>
  <c r="J222" i="7" s="1"/>
  <c r="I99" i="19"/>
  <c r="J97" i="19" s="1"/>
  <c r="M62" i="4"/>
  <c r="I92" i="12"/>
  <c r="J48" i="12"/>
  <c r="J56" i="12"/>
  <c r="J57" i="12" s="1"/>
  <c r="J49" i="12"/>
  <c r="I86" i="9"/>
  <c r="I239" i="9"/>
  <c r="I245" i="9" s="1"/>
  <c r="J54" i="17"/>
  <c r="I92" i="17"/>
  <c r="J49" i="17"/>
  <c r="J48" i="17"/>
  <c r="J55" i="17" s="1"/>
  <c r="H96" i="17"/>
  <c r="N235" i="15"/>
  <c r="J49" i="19"/>
  <c r="I92" i="19"/>
  <c r="J48" i="19"/>
  <c r="J54" i="19" s="1"/>
  <c r="N212" i="15"/>
  <c r="I222" i="13"/>
  <c r="J222" i="13" s="1"/>
  <c r="I36" i="13"/>
  <c r="I51" i="13" s="1"/>
  <c r="J51" i="13" s="1"/>
  <c r="I37" i="13"/>
  <c r="I55" i="13" s="1"/>
  <c r="J55" i="13" s="1"/>
  <c r="I35" i="13"/>
  <c r="I54" i="13" s="1"/>
  <c r="J54" i="13" s="1"/>
  <c r="J56" i="13" s="1"/>
  <c r="I224" i="13"/>
  <c r="J224" i="13" s="1"/>
  <c r="I223" i="13"/>
  <c r="J223" i="13" s="1"/>
  <c r="J315" i="7"/>
  <c r="J320" i="7"/>
  <c r="J314" i="7"/>
  <c r="E385" i="15"/>
  <c r="I55" i="11"/>
  <c r="J55" i="11" s="1"/>
  <c r="J52" i="11"/>
  <c r="H100" i="17"/>
  <c r="J97" i="17"/>
  <c r="H99" i="17"/>
  <c r="H80" i="11"/>
  <c r="H58" i="4"/>
  <c r="J310" i="11"/>
  <c r="I36" i="17"/>
  <c r="J51" i="17" s="1"/>
  <c r="J56" i="17" s="1"/>
  <c r="I39" i="17"/>
  <c r="J53" i="17" s="1"/>
  <c r="F80" i="18"/>
  <c r="L57" i="4"/>
  <c r="I36" i="19"/>
  <c r="J51" i="19" s="1"/>
  <c r="I39" i="19"/>
  <c r="J53" i="19" s="1"/>
  <c r="I223" i="11"/>
  <c r="J223" i="11" s="1"/>
  <c r="I37" i="11"/>
  <c r="I54" i="11" s="1"/>
  <c r="J54" i="11" s="1"/>
  <c r="I222" i="11"/>
  <c r="J222" i="11" s="1"/>
  <c r="I224" i="11"/>
  <c r="J224" i="11" s="1"/>
  <c r="I35" i="11"/>
  <c r="I36" i="11"/>
  <c r="I51" i="11" s="1"/>
  <c r="J51" i="11" s="1"/>
  <c r="J58" i="11" s="1"/>
  <c r="I36" i="20"/>
  <c r="J51" i="20" s="1"/>
  <c r="I39" i="20"/>
  <c r="J53" i="20" s="1"/>
  <c r="I239" i="8"/>
  <c r="I245" i="8" s="1"/>
  <c r="I86" i="8"/>
  <c r="I94" i="10"/>
  <c r="G73" i="4"/>
  <c r="N143" i="15"/>
  <c r="I35" i="20" l="1"/>
  <c r="J52" i="20" s="1"/>
  <c r="I34" i="20"/>
  <c r="J60" i="20" s="1"/>
  <c r="J61" i="20" s="1"/>
  <c r="I37" i="20"/>
  <c r="J58" i="20"/>
  <c r="J330" i="10"/>
  <c r="J331" i="10"/>
  <c r="J314" i="8"/>
  <c r="J320" i="8"/>
  <c r="J315" i="8"/>
  <c r="I37" i="18"/>
  <c r="I52" i="18" s="1"/>
  <c r="J52" i="18" s="1"/>
  <c r="I35" i="18"/>
  <c r="I51" i="18" s="1"/>
  <c r="J51" i="18" s="1"/>
  <c r="I34" i="18"/>
  <c r="J60" i="18" s="1"/>
  <c r="J61" i="18" s="1"/>
  <c r="J71" i="11"/>
  <c r="J63" i="11"/>
  <c r="C129" i="11"/>
  <c r="J123" i="11"/>
  <c r="J70" i="11"/>
  <c r="J121" i="11"/>
  <c r="I121" i="11" s="1"/>
  <c r="J311" i="12"/>
  <c r="I133" i="9"/>
  <c r="I261" i="9" s="1"/>
  <c r="M26" i="15"/>
  <c r="P26" i="15"/>
  <c r="L29" i="15"/>
  <c r="L32" i="15" s="1"/>
  <c r="M11" i="15"/>
  <c r="L12" i="15"/>
  <c r="P11" i="15"/>
  <c r="J55" i="21"/>
  <c r="J56" i="21" s="1"/>
  <c r="I33" i="21"/>
  <c r="B318" i="15"/>
  <c r="B319" i="15" s="1"/>
  <c r="B320" i="15" s="1"/>
  <c r="B316" i="15"/>
  <c r="B317" i="15" s="1"/>
  <c r="B321" i="15"/>
  <c r="N352" i="15"/>
  <c r="B232" i="15"/>
  <c r="B233" i="15" s="1"/>
  <c r="B234" i="15" s="1"/>
  <c r="B235" i="15" s="1"/>
  <c r="B230" i="15"/>
  <c r="B231" i="15" s="1"/>
  <c r="J52" i="7"/>
  <c r="J58" i="7" s="1"/>
  <c r="I94" i="11"/>
  <c r="H73" i="4"/>
  <c r="J321" i="7"/>
  <c r="I99" i="20"/>
  <c r="J97" i="20" s="1"/>
  <c r="N62" i="4"/>
  <c r="I99" i="21" s="1"/>
  <c r="J97" i="21" s="1"/>
  <c r="J52" i="8"/>
  <c r="J58" i="8" s="1"/>
  <c r="J225" i="7"/>
  <c r="J227" i="7" s="1"/>
  <c r="I133" i="8"/>
  <c r="I261" i="8" s="1"/>
  <c r="I133" i="10"/>
  <c r="I261" i="10" s="1"/>
  <c r="J106" i="7"/>
  <c r="J114" i="7" s="1"/>
  <c r="J225" i="9"/>
  <c r="J227" i="9" s="1"/>
  <c r="J52" i="13"/>
  <c r="J58" i="13" s="1"/>
  <c r="J56" i="9"/>
  <c r="J58" i="9" s="1"/>
  <c r="H95" i="10"/>
  <c r="J92" i="10"/>
  <c r="J106" i="10" s="1"/>
  <c r="J114" i="10" s="1"/>
  <c r="I54" i="18"/>
  <c r="J54" i="18" s="1"/>
  <c r="I53" i="18"/>
  <c r="B209" i="15"/>
  <c r="B210" i="15" s="1"/>
  <c r="B207" i="15"/>
  <c r="B208" i="15" s="1"/>
  <c r="B211" i="15" s="1"/>
  <c r="B212" i="15" s="1"/>
  <c r="J56" i="19"/>
  <c r="M155" i="15"/>
  <c r="L158" i="15"/>
  <c r="P155" i="15"/>
  <c r="I11" i="20"/>
  <c r="N94" i="4"/>
  <c r="L33" i="15"/>
  <c r="M30" i="15"/>
  <c r="Q32" i="15" s="1"/>
  <c r="P30" i="15"/>
  <c r="H213" i="19"/>
  <c r="I80" i="11"/>
  <c r="H239" i="11"/>
  <c r="J227" i="12"/>
  <c r="J225" i="12"/>
  <c r="B253" i="15"/>
  <c r="B254" i="15" s="1"/>
  <c r="B255" i="15"/>
  <c r="B256" i="15" s="1"/>
  <c r="B257" i="15" s="1"/>
  <c r="B258" i="15" s="1"/>
  <c r="I33" i="17"/>
  <c r="J225" i="8"/>
  <c r="J227" i="8"/>
  <c r="J314" i="11"/>
  <c r="J320" i="11"/>
  <c r="J315" i="11"/>
  <c r="B63" i="15"/>
  <c r="B65" i="15"/>
  <c r="J321" i="8"/>
  <c r="J60" i="12"/>
  <c r="J61" i="12" s="1"/>
  <c r="I54" i="12"/>
  <c r="J54" i="12" s="1"/>
  <c r="J58" i="12" s="1"/>
  <c r="J225" i="13"/>
  <c r="J227" i="13"/>
  <c r="I33" i="19"/>
  <c r="J315" i="9"/>
  <c r="J314" i="9"/>
  <c r="J321" i="9" s="1"/>
  <c r="J320" i="9"/>
  <c r="J225" i="11"/>
  <c r="J227" i="11" s="1"/>
  <c r="J55" i="19"/>
  <c r="J225" i="10"/>
  <c r="J227" i="10" s="1"/>
  <c r="J315" i="13"/>
  <c r="J314" i="13"/>
  <c r="J320" i="13"/>
  <c r="F80" i="19"/>
  <c r="M57" i="4"/>
  <c r="M17" i="5"/>
  <c r="L18" i="5"/>
  <c r="H80" i="12"/>
  <c r="I58" i="4"/>
  <c r="B134" i="15"/>
  <c r="B135" i="15" s="1"/>
  <c r="B136" i="15" s="1"/>
  <c r="B137" i="15"/>
  <c r="B132" i="15"/>
  <c r="B133" i="15" s="1"/>
  <c r="I93" i="11"/>
  <c r="H72" i="4"/>
  <c r="J70" i="10"/>
  <c r="J72" i="10" s="1"/>
  <c r="J112" i="10" s="1"/>
  <c r="J84" i="10"/>
  <c r="J78" i="10"/>
  <c r="J123" i="10"/>
  <c r="J119" i="10"/>
  <c r="J71" i="10"/>
  <c r="J85" i="10"/>
  <c r="J83" i="10"/>
  <c r="J82" i="10"/>
  <c r="J81" i="10"/>
  <c r="J63" i="10"/>
  <c r="J121" i="10"/>
  <c r="I121" i="10" s="1"/>
  <c r="C129" i="10"/>
  <c r="J80" i="10"/>
  <c r="J79" i="10"/>
  <c r="C257" i="10" l="1"/>
  <c r="J233" i="10"/>
  <c r="J232" i="10"/>
  <c r="J234" i="10" s="1"/>
  <c r="J240" i="10" s="1"/>
  <c r="J243" i="10"/>
  <c r="J242" i="10"/>
  <c r="J241" i="10"/>
  <c r="J237" i="10"/>
  <c r="J288" i="10"/>
  <c r="J249" i="10"/>
  <c r="J253" i="10"/>
  <c r="J251" i="10"/>
  <c r="J252" i="10" s="1"/>
  <c r="J330" i="9"/>
  <c r="J331" i="9"/>
  <c r="C129" i="12"/>
  <c r="J123" i="12"/>
  <c r="J71" i="12"/>
  <c r="J70" i="12"/>
  <c r="J72" i="12" s="1"/>
  <c r="J112" i="12" s="1"/>
  <c r="J63" i="12"/>
  <c r="J84" i="12"/>
  <c r="J83" i="12"/>
  <c r="J81" i="12"/>
  <c r="J80" i="12"/>
  <c r="J79" i="12"/>
  <c r="J121" i="12"/>
  <c r="I121" i="12" s="1"/>
  <c r="J123" i="13"/>
  <c r="J71" i="13"/>
  <c r="J63" i="13"/>
  <c r="C129" i="13"/>
  <c r="J70" i="13"/>
  <c r="J72" i="13" s="1"/>
  <c r="J112" i="13" s="1"/>
  <c r="J121" i="13"/>
  <c r="I121" i="13" s="1"/>
  <c r="I77" i="4"/>
  <c r="J102" i="13" s="1"/>
  <c r="J288" i="11"/>
  <c r="J241" i="11"/>
  <c r="J233" i="11"/>
  <c r="J232" i="11"/>
  <c r="J234" i="11" s="1"/>
  <c r="J243" i="11" s="1"/>
  <c r="C257" i="11"/>
  <c r="J242" i="11"/>
  <c r="J244" i="11"/>
  <c r="J253" i="11"/>
  <c r="J251" i="11"/>
  <c r="J123" i="9"/>
  <c r="J71" i="9"/>
  <c r="J70" i="9"/>
  <c r="J72" i="9" s="1"/>
  <c r="J112" i="9" s="1"/>
  <c r="J80" i="9"/>
  <c r="E78" i="4"/>
  <c r="J103" i="9" s="1"/>
  <c r="J106" i="9" s="1"/>
  <c r="J114" i="9" s="1"/>
  <c r="C129" i="9"/>
  <c r="J63" i="9"/>
  <c r="J119" i="9"/>
  <c r="J121" i="9"/>
  <c r="J239" i="9"/>
  <c r="C257" i="9"/>
  <c r="J232" i="9"/>
  <c r="J234" i="9" s="1"/>
  <c r="J249" i="9" s="1"/>
  <c r="J238" i="9"/>
  <c r="J233" i="9"/>
  <c r="J288" i="9"/>
  <c r="J253" i="9"/>
  <c r="J251" i="9"/>
  <c r="J252" i="9" s="1"/>
  <c r="J232" i="7"/>
  <c r="J288" i="7"/>
  <c r="J233" i="7"/>
  <c r="C257" i="7"/>
  <c r="J251" i="7"/>
  <c r="J252" i="7" s="1"/>
  <c r="J253" i="7"/>
  <c r="J79" i="8"/>
  <c r="J85" i="8"/>
  <c r="J82" i="8"/>
  <c r="J119" i="8"/>
  <c r="J78" i="8"/>
  <c r="J63" i="8"/>
  <c r="J80" i="8"/>
  <c r="J123" i="8"/>
  <c r="C129" i="8"/>
  <c r="J84" i="8"/>
  <c r="J83" i="8"/>
  <c r="J71" i="8"/>
  <c r="J70" i="8"/>
  <c r="J72" i="8" s="1"/>
  <c r="J112" i="8" s="1"/>
  <c r="J121" i="8"/>
  <c r="I239" i="11"/>
  <c r="I245" i="11" s="1"/>
  <c r="J252" i="11" s="1"/>
  <c r="I86" i="11"/>
  <c r="J188" i="10"/>
  <c r="J123" i="7"/>
  <c r="J71" i="7"/>
  <c r="J63" i="7"/>
  <c r="J121" i="7"/>
  <c r="J84" i="7"/>
  <c r="J70" i="7"/>
  <c r="J72" i="7" s="1"/>
  <c r="J112" i="7" s="1"/>
  <c r="C129" i="7"/>
  <c r="J81" i="7"/>
  <c r="L161" i="15"/>
  <c r="M158" i="15"/>
  <c r="P158" i="15"/>
  <c r="I11" i="21"/>
  <c r="L21" i="5"/>
  <c r="L36" i="15"/>
  <c r="P33" i="15"/>
  <c r="M33" i="15"/>
  <c r="Q35" i="15" s="1"/>
  <c r="B322" i="15"/>
  <c r="B323" i="15" s="1"/>
  <c r="B324" i="15"/>
  <c r="B325" i="15" s="1"/>
  <c r="B326" i="15" s="1"/>
  <c r="B327" i="15" s="1"/>
  <c r="J188" i="11"/>
  <c r="J330" i="7"/>
  <c r="J331" i="7"/>
  <c r="J233" i="12"/>
  <c r="J232" i="12"/>
  <c r="J234" i="12" s="1"/>
  <c r="J249" i="12" s="1"/>
  <c r="J288" i="12"/>
  <c r="J244" i="12"/>
  <c r="J243" i="12"/>
  <c r="J241" i="12"/>
  <c r="J240" i="12"/>
  <c r="J238" i="12"/>
  <c r="C257" i="12"/>
  <c r="J242" i="12"/>
  <c r="J251" i="12"/>
  <c r="J253" i="12"/>
  <c r="I73" i="4"/>
  <c r="I94" i="12"/>
  <c r="J72" i="11"/>
  <c r="I93" i="12"/>
  <c r="I72" i="4"/>
  <c r="J321" i="13"/>
  <c r="J119" i="11"/>
  <c r="I37" i="19"/>
  <c r="I34" i="19"/>
  <c r="J60" i="19" s="1"/>
  <c r="J61" i="19" s="1"/>
  <c r="I35" i="19"/>
  <c r="J52" i="19" s="1"/>
  <c r="J58" i="19" s="1"/>
  <c r="J120" i="10"/>
  <c r="J124" i="10" s="1"/>
  <c r="J330" i="8"/>
  <c r="J331" i="8"/>
  <c r="J321" i="11"/>
  <c r="M12" i="15"/>
  <c r="P12" i="15"/>
  <c r="P28" i="15" s="1"/>
  <c r="B138" i="15"/>
  <c r="B139" i="15" s="1"/>
  <c r="B140" i="15"/>
  <c r="B141" i="15" s="1"/>
  <c r="B142" i="15" s="1"/>
  <c r="B143" i="15" s="1"/>
  <c r="L35" i="15"/>
  <c r="M32" i="15"/>
  <c r="P32" i="15"/>
  <c r="C129" i="20"/>
  <c r="J70" i="20"/>
  <c r="J63" i="20"/>
  <c r="J71" i="20"/>
  <c r="J123" i="20"/>
  <c r="H80" i="13"/>
  <c r="J58" i="4"/>
  <c r="I37" i="17"/>
  <c r="I35" i="17"/>
  <c r="J52" i="17" s="1"/>
  <c r="J58" i="17" s="1"/>
  <c r="I34" i="17"/>
  <c r="J60" i="17" s="1"/>
  <c r="J61" i="17" s="1"/>
  <c r="H239" i="12"/>
  <c r="I80" i="12"/>
  <c r="J121" i="20"/>
  <c r="H213" i="20"/>
  <c r="J86" i="10"/>
  <c r="J113" i="10" s="1"/>
  <c r="J115" i="10" s="1"/>
  <c r="I37" i="21"/>
  <c r="I35" i="21"/>
  <c r="J52" i="21" s="1"/>
  <c r="J58" i="21" s="1"/>
  <c r="I34" i="21"/>
  <c r="J60" i="21" s="1"/>
  <c r="J61" i="21" s="1"/>
  <c r="B64" i="15"/>
  <c r="D380" i="15"/>
  <c r="L19" i="5"/>
  <c r="M18" i="5"/>
  <c r="C257" i="13"/>
  <c r="J288" i="13"/>
  <c r="J233" i="13"/>
  <c r="J251" i="13"/>
  <c r="J232" i="13"/>
  <c r="J253" i="13"/>
  <c r="I55" i="18"/>
  <c r="J55" i="18" s="1"/>
  <c r="J53" i="18"/>
  <c r="J56" i="18"/>
  <c r="J58" i="18"/>
  <c r="B71" i="15"/>
  <c r="B72" i="15" s="1"/>
  <c r="B73" i="15" s="1"/>
  <c r="B74" i="15" s="1"/>
  <c r="B68" i="15"/>
  <c r="B69" i="15" s="1"/>
  <c r="B70" i="15" s="1"/>
  <c r="B66" i="15"/>
  <c r="B67" i="15" s="1"/>
  <c r="H95" i="11"/>
  <c r="J92" i="11"/>
  <c r="J106" i="11" s="1"/>
  <c r="J114" i="11" s="1"/>
  <c r="F346" i="10"/>
  <c r="F335" i="10"/>
  <c r="I335" i="10" s="1"/>
  <c r="H337" i="10" s="1"/>
  <c r="H341" i="10" s="1"/>
  <c r="J232" i="8"/>
  <c r="J253" i="8"/>
  <c r="J288" i="8"/>
  <c r="C257" i="8"/>
  <c r="J233" i="8"/>
  <c r="J251" i="8"/>
  <c r="J252" i="8" s="1"/>
  <c r="J122" i="10"/>
  <c r="J315" i="12"/>
  <c r="J320" i="12"/>
  <c r="J314" i="12"/>
  <c r="F80" i="20"/>
  <c r="N57" i="4"/>
  <c r="F80" i="21" s="1"/>
  <c r="F129" i="10" l="1"/>
  <c r="J189" i="10"/>
  <c r="J250" i="9"/>
  <c r="J254" i="9"/>
  <c r="J190" i="10"/>
  <c r="I129" i="10"/>
  <c r="J137" i="10"/>
  <c r="J250" i="12"/>
  <c r="J238" i="11"/>
  <c r="L20" i="5"/>
  <c r="M20" i="5" s="1"/>
  <c r="M19" i="5"/>
  <c r="I121" i="9"/>
  <c r="J122" i="9"/>
  <c r="F335" i="9"/>
  <c r="I335" i="9" s="1"/>
  <c r="H337" i="9" s="1"/>
  <c r="H341" i="9" s="1"/>
  <c r="F346" i="9"/>
  <c r="I346" i="9" s="1"/>
  <c r="J346" i="9" s="1"/>
  <c r="J119" i="7"/>
  <c r="J120" i="9"/>
  <c r="J124" i="9" s="1"/>
  <c r="J188" i="20"/>
  <c r="J244" i="9"/>
  <c r="J188" i="12"/>
  <c r="J119" i="12"/>
  <c r="J241" i="9"/>
  <c r="L164" i="15"/>
  <c r="M161" i="15"/>
  <c r="P161" i="15"/>
  <c r="J249" i="11"/>
  <c r="J234" i="8"/>
  <c r="J188" i="8"/>
  <c r="J80" i="7"/>
  <c r="J240" i="9"/>
  <c r="J85" i="7"/>
  <c r="J239" i="11"/>
  <c r="J79" i="7"/>
  <c r="J123" i="21"/>
  <c r="J71" i="21"/>
  <c r="J63" i="21"/>
  <c r="C129" i="21"/>
  <c r="J83" i="21"/>
  <c r="J78" i="21"/>
  <c r="J70" i="21"/>
  <c r="J72" i="21" s="1"/>
  <c r="J112" i="21" s="1"/>
  <c r="J85" i="21"/>
  <c r="J79" i="21"/>
  <c r="J330" i="11"/>
  <c r="J331" i="11"/>
  <c r="J84" i="13"/>
  <c r="I239" i="12"/>
  <c r="I86" i="12"/>
  <c r="F335" i="7"/>
  <c r="I335" i="7" s="1"/>
  <c r="H337" i="7" s="1"/>
  <c r="H341" i="7" s="1"/>
  <c r="F346" i="7"/>
  <c r="I133" i="11"/>
  <c r="I261" i="11" s="1"/>
  <c r="J122" i="11"/>
  <c r="J71" i="19"/>
  <c r="C129" i="19"/>
  <c r="J123" i="19"/>
  <c r="J119" i="19"/>
  <c r="J84" i="19"/>
  <c r="J83" i="19"/>
  <c r="J70" i="19"/>
  <c r="J72" i="19" s="1"/>
  <c r="J112" i="19" s="1"/>
  <c r="J82" i="19"/>
  <c r="J79" i="19"/>
  <c r="J63" i="19"/>
  <c r="J121" i="19"/>
  <c r="J84" i="9"/>
  <c r="J83" i="9"/>
  <c r="J321" i="12"/>
  <c r="H80" i="17"/>
  <c r="I80" i="17" s="1"/>
  <c r="I86" i="17" s="1"/>
  <c r="K58" i="4"/>
  <c r="J85" i="13"/>
  <c r="J234" i="13"/>
  <c r="H239" i="13"/>
  <c r="I80" i="13"/>
  <c r="J124" i="11"/>
  <c r="J137" i="11" s="1"/>
  <c r="J120" i="11"/>
  <c r="J79" i="9"/>
  <c r="J119" i="13"/>
  <c r="J239" i="10"/>
  <c r="J120" i="8"/>
  <c r="J124" i="8" s="1"/>
  <c r="J82" i="12"/>
  <c r="H213" i="21"/>
  <c r="J121" i="21"/>
  <c r="J72" i="20"/>
  <c r="J86" i="8"/>
  <c r="J113" i="8" s="1"/>
  <c r="J115" i="8" s="1"/>
  <c r="J240" i="11"/>
  <c r="J242" i="9"/>
  <c r="I121" i="7"/>
  <c r="J122" i="7"/>
  <c r="J243" i="9"/>
  <c r="D402" i="15"/>
  <c r="E382" i="15"/>
  <c r="M35" i="15"/>
  <c r="L38" i="15"/>
  <c r="P35" i="15"/>
  <c r="J82" i="7"/>
  <c r="J188" i="9"/>
  <c r="J237" i="12"/>
  <c r="J83" i="7"/>
  <c r="J250" i="10"/>
  <c r="J254" i="10" s="1"/>
  <c r="J79" i="13"/>
  <c r="F335" i="8"/>
  <c r="I335" i="8" s="1"/>
  <c r="H337" i="8" s="1"/>
  <c r="H341" i="8" s="1"/>
  <c r="F346" i="8"/>
  <c r="J82" i="9"/>
  <c r="J71" i="17"/>
  <c r="C129" i="17"/>
  <c r="J63" i="17"/>
  <c r="J70" i="17"/>
  <c r="J72" i="17" s="1"/>
  <c r="J112" i="17" s="1"/>
  <c r="J123" i="17"/>
  <c r="J80" i="17"/>
  <c r="G221" i="17"/>
  <c r="J77" i="4"/>
  <c r="J102" i="17" s="1"/>
  <c r="J121" i="17"/>
  <c r="I121" i="17" s="1"/>
  <c r="J330" i="13"/>
  <c r="J331" i="13"/>
  <c r="J82" i="13"/>
  <c r="J244" i="10"/>
  <c r="J119" i="20"/>
  <c r="I93" i="13"/>
  <c r="J72" i="4"/>
  <c r="J81" i="13"/>
  <c r="H95" i="12"/>
  <c r="J92" i="12"/>
  <c r="J106" i="12" s="1"/>
  <c r="J114" i="12" s="1"/>
  <c r="L39" i="15"/>
  <c r="L37" i="15"/>
  <c r="M36" i="15"/>
  <c r="Q38" i="15" s="1"/>
  <c r="P36" i="15"/>
  <c r="I94" i="13"/>
  <c r="J73" i="4"/>
  <c r="J237" i="9"/>
  <c r="J188" i="7"/>
  <c r="J85" i="12"/>
  <c r="J78" i="13"/>
  <c r="J78" i="7"/>
  <c r="J83" i="13"/>
  <c r="J81" i="9"/>
  <c r="J71" i="18"/>
  <c r="J124" i="18"/>
  <c r="C130" i="18"/>
  <c r="J63" i="18"/>
  <c r="J70" i="18"/>
  <c r="J72" i="18" s="1"/>
  <c r="J113" i="18" s="1"/>
  <c r="G222" i="18"/>
  <c r="K77" i="4"/>
  <c r="J103" i="18" s="1"/>
  <c r="J122" i="18"/>
  <c r="J188" i="13"/>
  <c r="J85" i="9"/>
  <c r="J234" i="7"/>
  <c r="I121" i="8"/>
  <c r="J122" i="8"/>
  <c r="J78" i="9"/>
  <c r="J86" i="9" s="1"/>
  <c r="J113" i="9" s="1"/>
  <c r="J115" i="9" s="1"/>
  <c r="J112" i="11"/>
  <c r="J83" i="11"/>
  <c r="J85" i="11"/>
  <c r="J78" i="11"/>
  <c r="J80" i="11"/>
  <c r="J79" i="11"/>
  <c r="J84" i="11"/>
  <c r="J82" i="11"/>
  <c r="J81" i="11"/>
  <c r="L22" i="5"/>
  <c r="M22" i="5" s="1"/>
  <c r="M21" i="5"/>
  <c r="J81" i="8"/>
  <c r="J237" i="11"/>
  <c r="J78" i="12"/>
  <c r="J238" i="10"/>
  <c r="J245" i="10" s="1"/>
  <c r="J190" i="9" l="1"/>
  <c r="I129" i="9"/>
  <c r="J137" i="9"/>
  <c r="I129" i="8"/>
  <c r="J190" i="8"/>
  <c r="J137" i="8"/>
  <c r="J189" i="8"/>
  <c r="F129" i="8"/>
  <c r="J129" i="8" s="1"/>
  <c r="F129" i="9"/>
  <c r="J129" i="9" s="1"/>
  <c r="J189" i="9"/>
  <c r="J289" i="10"/>
  <c r="F257" i="10"/>
  <c r="J257" i="10" s="1"/>
  <c r="J290" i="10"/>
  <c r="I257" i="10"/>
  <c r="J265" i="10"/>
  <c r="J86" i="7"/>
  <c r="J113" i="7" s="1"/>
  <c r="J115" i="7" s="1"/>
  <c r="I86" i="13"/>
  <c r="I239" i="13"/>
  <c r="I245" i="13" s="1"/>
  <c r="J86" i="13"/>
  <c r="J113" i="13" s="1"/>
  <c r="J115" i="13" s="1"/>
  <c r="H221" i="17"/>
  <c r="I133" i="12"/>
  <c r="I261" i="12" s="1"/>
  <c r="J122" i="12"/>
  <c r="I245" i="12"/>
  <c r="J239" i="12"/>
  <c r="J240" i="8"/>
  <c r="J243" i="8"/>
  <c r="J241" i="8"/>
  <c r="J242" i="8"/>
  <c r="J244" i="8"/>
  <c r="J237" i="8"/>
  <c r="J238" i="8"/>
  <c r="J239" i="8"/>
  <c r="J249" i="8"/>
  <c r="J82" i="17"/>
  <c r="J120" i="7"/>
  <c r="J124" i="7" s="1"/>
  <c r="J79" i="17"/>
  <c r="J85" i="17"/>
  <c r="J188" i="19"/>
  <c r="J331" i="12"/>
  <c r="J330" i="12"/>
  <c r="L40" i="15"/>
  <c r="M37" i="15"/>
  <c r="P37" i="15"/>
  <c r="J81" i="17"/>
  <c r="J84" i="21"/>
  <c r="J242" i="13"/>
  <c r="J241" i="13"/>
  <c r="J238" i="13"/>
  <c r="J244" i="13"/>
  <c r="J237" i="13"/>
  <c r="J243" i="13"/>
  <c r="J249" i="13"/>
  <c r="J240" i="13"/>
  <c r="J244" i="7"/>
  <c r="J239" i="7"/>
  <c r="J237" i="7"/>
  <c r="J243" i="7"/>
  <c r="J249" i="7"/>
  <c r="J241" i="7"/>
  <c r="J238" i="7"/>
  <c r="J240" i="7"/>
  <c r="J242" i="7"/>
  <c r="L41" i="15"/>
  <c r="M38" i="15"/>
  <c r="P38" i="15"/>
  <c r="J122" i="17"/>
  <c r="I133" i="17"/>
  <c r="J133" i="17" s="1"/>
  <c r="F335" i="11"/>
  <c r="I335" i="11" s="1"/>
  <c r="H337" i="11" s="1"/>
  <c r="H341" i="11" s="1"/>
  <c r="F346" i="11"/>
  <c r="I346" i="11" s="1"/>
  <c r="J346" i="11" s="1"/>
  <c r="J188" i="17"/>
  <c r="J79" i="18"/>
  <c r="J189" i="18"/>
  <c r="M39" i="15"/>
  <c r="Q41" i="15" s="1"/>
  <c r="L42" i="15"/>
  <c r="P39" i="15"/>
  <c r="J188" i="21"/>
  <c r="J120" i="18"/>
  <c r="J82" i="18"/>
  <c r="J84" i="18"/>
  <c r="J83" i="18"/>
  <c r="J120" i="12"/>
  <c r="J124" i="12" s="1"/>
  <c r="J78" i="19"/>
  <c r="H95" i="13"/>
  <c r="J92" i="13"/>
  <c r="J106" i="13" s="1"/>
  <c r="J114" i="13" s="1"/>
  <c r="J120" i="20"/>
  <c r="I257" i="9"/>
  <c r="J290" i="9"/>
  <c r="J78" i="18"/>
  <c r="J265" i="9"/>
  <c r="J190" i="11"/>
  <c r="I129" i="11"/>
  <c r="L58" i="4"/>
  <c r="H80" i="18"/>
  <c r="I80" i="18" s="1"/>
  <c r="I86" i="18" s="1"/>
  <c r="J245" i="9"/>
  <c r="I94" i="17"/>
  <c r="K73" i="4"/>
  <c r="J250" i="11"/>
  <c r="J254" i="11"/>
  <c r="J83" i="17"/>
  <c r="J84" i="17"/>
  <c r="J119" i="17"/>
  <c r="J86" i="12"/>
  <c r="J113" i="12" s="1"/>
  <c r="J115" i="12" s="1"/>
  <c r="J245" i="11"/>
  <c r="J85" i="18"/>
  <c r="I93" i="17"/>
  <c r="K72" i="4"/>
  <c r="J81" i="21"/>
  <c r="J82" i="21"/>
  <c r="J119" i="21"/>
  <c r="J86" i="11"/>
  <c r="J113" i="11" s="1"/>
  <c r="J245" i="12"/>
  <c r="J85" i="19"/>
  <c r="F335" i="13"/>
  <c r="I335" i="13" s="1"/>
  <c r="H337" i="13" s="1"/>
  <c r="H341" i="13" s="1"/>
  <c r="F346" i="13"/>
  <c r="J120" i="13"/>
  <c r="J78" i="17"/>
  <c r="J80" i="13"/>
  <c r="H222" i="18"/>
  <c r="J112" i="20"/>
  <c r="J84" i="20"/>
  <c r="J83" i="20"/>
  <c r="J82" i="20"/>
  <c r="J81" i="20"/>
  <c r="J85" i="20"/>
  <c r="J79" i="20"/>
  <c r="J78" i="20"/>
  <c r="J81" i="18"/>
  <c r="L167" i="15"/>
  <c r="M164" i="15"/>
  <c r="P164" i="15"/>
  <c r="J120" i="19"/>
  <c r="J81" i="19"/>
  <c r="J115" i="11"/>
  <c r="J129" i="10"/>
  <c r="J190" i="12" l="1"/>
  <c r="I129" i="12"/>
  <c r="J137" i="12"/>
  <c r="I129" i="7"/>
  <c r="J190" i="7"/>
  <c r="J137" i="7"/>
  <c r="J122" i="13"/>
  <c r="J124" i="13" s="1"/>
  <c r="I133" i="13"/>
  <c r="I261" i="13" s="1"/>
  <c r="J137" i="13"/>
  <c r="J120" i="17"/>
  <c r="J124" i="17" s="1"/>
  <c r="J252" i="13"/>
  <c r="J254" i="13" s="1"/>
  <c r="L45" i="15"/>
  <c r="M42" i="15"/>
  <c r="P42" i="15"/>
  <c r="F93" i="18"/>
  <c r="L73" i="4"/>
  <c r="F257" i="9"/>
  <c r="J257" i="9" s="1"/>
  <c r="J289" i="9"/>
  <c r="F129" i="13"/>
  <c r="J189" i="13"/>
  <c r="J263" i="10"/>
  <c r="J266" i="10"/>
  <c r="J264" i="10"/>
  <c r="J262" i="10"/>
  <c r="J289" i="11"/>
  <c r="F257" i="11"/>
  <c r="M40" i="15"/>
  <c r="P40" i="15"/>
  <c r="L43" i="15"/>
  <c r="J121" i="18"/>
  <c r="I121" i="18" s="1"/>
  <c r="J189" i="7"/>
  <c r="F129" i="7"/>
  <c r="J129" i="7" s="1"/>
  <c r="I257" i="11"/>
  <c r="J290" i="11"/>
  <c r="J265" i="11"/>
  <c r="J245" i="13"/>
  <c r="J135" i="10"/>
  <c r="J136" i="10"/>
  <c r="J134" i="10"/>
  <c r="J138" i="10"/>
  <c r="J189" i="11"/>
  <c r="F129" i="11"/>
  <c r="J129" i="11" s="1"/>
  <c r="J80" i="18"/>
  <c r="J86" i="18" s="1"/>
  <c r="J114" i="18" s="1"/>
  <c r="J120" i="21"/>
  <c r="L44" i="15"/>
  <c r="M41" i="15"/>
  <c r="P41" i="15"/>
  <c r="F335" i="12"/>
  <c r="I335" i="12" s="1"/>
  <c r="H337" i="12" s="1"/>
  <c r="H341" i="12" s="1"/>
  <c r="F346" i="12"/>
  <c r="I346" i="12" s="1"/>
  <c r="J346" i="12" s="1"/>
  <c r="J245" i="7"/>
  <c r="J250" i="8"/>
  <c r="J254" i="8" s="1"/>
  <c r="J86" i="17"/>
  <c r="J113" i="17" s="1"/>
  <c r="J245" i="8"/>
  <c r="J189" i="12"/>
  <c r="F129" i="12"/>
  <c r="J129" i="12" s="1"/>
  <c r="J135" i="9"/>
  <c r="J136" i="9"/>
  <c r="J134" i="9"/>
  <c r="J138" i="9"/>
  <c r="J138" i="8"/>
  <c r="J136" i="8"/>
  <c r="J135" i="8"/>
  <c r="J134" i="8"/>
  <c r="J289" i="12"/>
  <c r="F257" i="12"/>
  <c r="J254" i="7"/>
  <c r="J250" i="7"/>
  <c r="I134" i="18"/>
  <c r="J134" i="18" s="1"/>
  <c r="J123" i="18"/>
  <c r="J239" i="13"/>
  <c r="H80" i="19"/>
  <c r="I80" i="19" s="1"/>
  <c r="M58" i="4"/>
  <c r="J250" i="13"/>
  <c r="G94" i="18"/>
  <c r="L72" i="4"/>
  <c r="H95" i="17"/>
  <c r="J92" i="17"/>
  <c r="J106" i="17" s="1"/>
  <c r="J252" i="12"/>
  <c r="J254" i="12" s="1"/>
  <c r="J265" i="12"/>
  <c r="I257" i="8" l="1"/>
  <c r="J290" i="8"/>
  <c r="J265" i="8"/>
  <c r="G223" i="18"/>
  <c r="J290" i="13"/>
  <c r="I257" i="13"/>
  <c r="J265" i="13"/>
  <c r="G223" i="17"/>
  <c r="J190" i="17"/>
  <c r="I129" i="17"/>
  <c r="I94" i="19"/>
  <c r="M73" i="4"/>
  <c r="J263" i="9"/>
  <c r="J266" i="9"/>
  <c r="J264" i="9"/>
  <c r="J262" i="9"/>
  <c r="J267" i="9" s="1"/>
  <c r="J139" i="9"/>
  <c r="J148" i="9" s="1"/>
  <c r="J150" i="9" s="1"/>
  <c r="I93" i="19"/>
  <c r="J92" i="19" s="1"/>
  <c r="J106" i="19" s="1"/>
  <c r="J114" i="19" s="1"/>
  <c r="M72" i="4"/>
  <c r="J125" i="18"/>
  <c r="J139" i="8"/>
  <c r="J148" i="8" s="1"/>
  <c r="J150" i="8" s="1"/>
  <c r="J289" i="13"/>
  <c r="F257" i="13"/>
  <c r="J257" i="13" s="1"/>
  <c r="I257" i="12"/>
  <c r="J257" i="12" s="1"/>
  <c r="J290" i="12"/>
  <c r="L48" i="15"/>
  <c r="P45" i="15"/>
  <c r="M45" i="15"/>
  <c r="Q47" i="15" s="1"/>
  <c r="J138" i="12"/>
  <c r="J136" i="12"/>
  <c r="J135" i="12"/>
  <c r="J134" i="12"/>
  <c r="J139" i="12" s="1"/>
  <c r="J148" i="12" s="1"/>
  <c r="J150" i="12" s="1"/>
  <c r="I86" i="19"/>
  <c r="J80" i="19"/>
  <c r="J86" i="19" s="1"/>
  <c r="J113" i="19" s="1"/>
  <c r="J257" i="11"/>
  <c r="J139" i="10"/>
  <c r="J148" i="10" s="1"/>
  <c r="J150" i="10" s="1"/>
  <c r="I94" i="18"/>
  <c r="J92" i="18"/>
  <c r="J107" i="18" s="1"/>
  <c r="M44" i="15"/>
  <c r="L47" i="15"/>
  <c r="P44" i="15"/>
  <c r="Q44" i="15" s="1"/>
  <c r="J134" i="11"/>
  <c r="J138" i="11"/>
  <c r="J136" i="11"/>
  <c r="J135" i="11"/>
  <c r="J135" i="7"/>
  <c r="J134" i="7"/>
  <c r="J139" i="7" s="1"/>
  <c r="J148" i="7" s="1"/>
  <c r="J150" i="7" s="1"/>
  <c r="J138" i="7"/>
  <c r="J136" i="7"/>
  <c r="J115" i="17"/>
  <c r="G222" i="17"/>
  <c r="L46" i="15"/>
  <c r="M43" i="15"/>
  <c r="P43" i="15"/>
  <c r="J114" i="17"/>
  <c r="J137" i="17"/>
  <c r="I257" i="7"/>
  <c r="J290" i="7"/>
  <c r="J265" i="7"/>
  <c r="J267" i="10"/>
  <c r="J289" i="8"/>
  <c r="F257" i="8"/>
  <c r="J257" i="8" s="1"/>
  <c r="I129" i="13"/>
  <c r="J129" i="13" s="1"/>
  <c r="J190" i="13"/>
  <c r="H80" i="20"/>
  <c r="I80" i="20" s="1"/>
  <c r="N58" i="4"/>
  <c r="H80" i="21" s="1"/>
  <c r="I80" i="21" s="1"/>
  <c r="F257" i="7"/>
  <c r="J257" i="7" s="1"/>
  <c r="J289" i="7"/>
  <c r="J134" i="13" l="1"/>
  <c r="J138" i="13"/>
  <c r="J136" i="13"/>
  <c r="J135" i="13"/>
  <c r="J266" i="12"/>
  <c r="J262" i="12"/>
  <c r="J263" i="12"/>
  <c r="J264" i="12"/>
  <c r="J266" i="13"/>
  <c r="J262" i="13"/>
  <c r="J264" i="13"/>
  <c r="J263" i="13"/>
  <c r="J291" i="9"/>
  <c r="J293" i="9" s="1"/>
  <c r="J271" i="9"/>
  <c r="M46" i="15"/>
  <c r="L49" i="15"/>
  <c r="P46" i="15"/>
  <c r="F222" i="17"/>
  <c r="H222" i="17"/>
  <c r="J115" i="18"/>
  <c r="J116" i="18" s="1"/>
  <c r="J138" i="18"/>
  <c r="J291" i="10"/>
  <c r="J293" i="10" s="1"/>
  <c r="J271" i="10"/>
  <c r="M47" i="15"/>
  <c r="L50" i="15"/>
  <c r="P47" i="15"/>
  <c r="J266" i="11"/>
  <c r="J264" i="11"/>
  <c r="J262" i="11"/>
  <c r="J263" i="11"/>
  <c r="J115" i="19"/>
  <c r="J191" i="7"/>
  <c r="J193" i="7" s="1"/>
  <c r="J163" i="7"/>
  <c r="I93" i="20"/>
  <c r="J92" i="20" s="1"/>
  <c r="J106" i="20" s="1"/>
  <c r="J114" i="20" s="1"/>
  <c r="N72" i="4"/>
  <c r="I93" i="21" s="1"/>
  <c r="J92" i="21" s="1"/>
  <c r="J106" i="21" s="1"/>
  <c r="J114" i="21" s="1"/>
  <c r="J191" i="9"/>
  <c r="J193" i="9" s="1"/>
  <c r="J163" i="9"/>
  <c r="J191" i="10"/>
  <c r="J193" i="10" s="1"/>
  <c r="J163" i="10"/>
  <c r="J262" i="8"/>
  <c r="J264" i="8"/>
  <c r="J266" i="8"/>
  <c r="J263" i="8"/>
  <c r="I133" i="19"/>
  <c r="J133" i="19" s="1"/>
  <c r="J122" i="19"/>
  <c r="J124" i="19" s="1"/>
  <c r="J137" i="19"/>
  <c r="J191" i="12"/>
  <c r="J193" i="12" s="1"/>
  <c r="J163" i="12"/>
  <c r="J189" i="17"/>
  <c r="F129" i="17"/>
  <c r="J129" i="17" s="1"/>
  <c r="G224" i="18"/>
  <c r="J191" i="18"/>
  <c r="I130" i="18"/>
  <c r="J139" i="11"/>
  <c r="J148" i="11" s="1"/>
  <c r="J150" i="11" s="1"/>
  <c r="J266" i="7"/>
  <c r="J264" i="7"/>
  <c r="J262" i="7"/>
  <c r="J263" i="7"/>
  <c r="I94" i="20"/>
  <c r="N73" i="4"/>
  <c r="I94" i="21" s="1"/>
  <c r="F223" i="17"/>
  <c r="H223" i="17"/>
  <c r="F223" i="18"/>
  <c r="H223" i="18"/>
  <c r="J191" i="8"/>
  <c r="J193" i="8" s="1"/>
  <c r="J163" i="8"/>
  <c r="I86" i="21"/>
  <c r="J80" i="21"/>
  <c r="J86" i="21" s="1"/>
  <c r="J113" i="21" s="1"/>
  <c r="J115" i="21" s="1"/>
  <c r="I86" i="20"/>
  <c r="J80" i="20"/>
  <c r="J86" i="20" s="1"/>
  <c r="J113" i="20" s="1"/>
  <c r="J115" i="20" s="1"/>
  <c r="M48" i="15"/>
  <c r="Q50" i="15" s="1"/>
  <c r="Q51" i="15" s="1"/>
  <c r="P48" i="15"/>
  <c r="J189" i="20" l="1"/>
  <c r="F129" i="20"/>
  <c r="J164" i="9"/>
  <c r="J164" i="7"/>
  <c r="J164" i="12"/>
  <c r="J190" i="18"/>
  <c r="F130" i="18"/>
  <c r="J130" i="18" s="1"/>
  <c r="I129" i="19"/>
  <c r="J190" i="19"/>
  <c r="I133" i="20"/>
  <c r="J133" i="20" s="1"/>
  <c r="J122" i="20"/>
  <c r="J124" i="20" s="1"/>
  <c r="J137" i="20"/>
  <c r="J189" i="21"/>
  <c r="F129" i="21"/>
  <c r="J267" i="8"/>
  <c r="M49" i="15"/>
  <c r="L52" i="15"/>
  <c r="L55" i="15" s="1"/>
  <c r="P49" i="15"/>
  <c r="J189" i="19"/>
  <c r="F129" i="19"/>
  <c r="J138" i="17"/>
  <c r="J135" i="17"/>
  <c r="J134" i="17"/>
  <c r="J139" i="17" s="1"/>
  <c r="J148" i="17" s="1"/>
  <c r="J136" i="17"/>
  <c r="J272" i="10"/>
  <c r="I133" i="21"/>
  <c r="J133" i="21" s="1"/>
  <c r="J122" i="21"/>
  <c r="J124" i="21" s="1"/>
  <c r="J137" i="21"/>
  <c r="J164" i="10"/>
  <c r="J191" i="11"/>
  <c r="J193" i="11" s="1"/>
  <c r="J163" i="11"/>
  <c r="J267" i="11"/>
  <c r="J164" i="8"/>
  <c r="J272" i="9"/>
  <c r="J267" i="13"/>
  <c r="J267" i="12"/>
  <c r="H224" i="18"/>
  <c r="F224" i="18"/>
  <c r="J267" i="7"/>
  <c r="L53" i="15"/>
  <c r="M50" i="15"/>
  <c r="P50" i="15"/>
  <c r="J139" i="13"/>
  <c r="J148" i="13" s="1"/>
  <c r="J150" i="13" s="1"/>
  <c r="J291" i="13" l="1"/>
  <c r="J293" i="13" s="1"/>
  <c r="J271" i="13"/>
  <c r="J165" i="9"/>
  <c r="J166" i="9" s="1"/>
  <c r="J291" i="12"/>
  <c r="J293" i="12" s="1"/>
  <c r="J271" i="12"/>
  <c r="J129" i="21"/>
  <c r="J190" i="20"/>
  <c r="I129" i="20"/>
  <c r="J129" i="20" s="1"/>
  <c r="J135" i="18"/>
  <c r="J139" i="18"/>
  <c r="J137" i="18"/>
  <c r="J136" i="18"/>
  <c r="J165" i="12"/>
  <c r="J166" i="12" s="1"/>
  <c r="J167" i="12" s="1"/>
  <c r="J165" i="7"/>
  <c r="J166" i="7" s="1"/>
  <c r="J167" i="7" s="1"/>
  <c r="J291" i="7"/>
  <c r="J293" i="7" s="1"/>
  <c r="J271" i="7"/>
  <c r="J291" i="8"/>
  <c r="J293" i="8" s="1"/>
  <c r="J271" i="8"/>
  <c r="J164" i="11"/>
  <c r="J190" i="21"/>
  <c r="I129" i="21"/>
  <c r="J191" i="13"/>
  <c r="J193" i="13" s="1"/>
  <c r="J163" i="13"/>
  <c r="P51" i="15"/>
  <c r="J273" i="9"/>
  <c r="J274" i="9" s="1"/>
  <c r="J275" i="9" s="1"/>
  <c r="J291" i="11"/>
  <c r="J293" i="11" s="1"/>
  <c r="J271" i="11"/>
  <c r="J165" i="10"/>
  <c r="J166" i="10" s="1"/>
  <c r="J167" i="10" s="1"/>
  <c r="J150" i="17"/>
  <c r="G224" i="17"/>
  <c r="L58" i="15"/>
  <c r="M55" i="15"/>
  <c r="P55" i="15"/>
  <c r="J165" i="8"/>
  <c r="J166" i="8" s="1"/>
  <c r="J273" i="10"/>
  <c r="J274" i="10" s="1"/>
  <c r="J275" i="10" s="1"/>
  <c r="M53" i="15"/>
  <c r="Q55" i="15" s="1"/>
  <c r="L54" i="15"/>
  <c r="L56" i="15"/>
  <c r="P53" i="15"/>
  <c r="J129" i="19"/>
  <c r="J136" i="20" l="1"/>
  <c r="J135" i="20"/>
  <c r="J134" i="20"/>
  <c r="J138" i="20"/>
  <c r="J176" i="7"/>
  <c r="J171" i="7"/>
  <c r="J170" i="7"/>
  <c r="J284" i="10"/>
  <c r="J279" i="10"/>
  <c r="J278" i="10"/>
  <c r="J165" i="11"/>
  <c r="J166" i="11" s="1"/>
  <c r="J167" i="11" s="1"/>
  <c r="J272" i="7"/>
  <c r="J171" i="12"/>
  <c r="J170" i="12"/>
  <c r="J176" i="12"/>
  <c r="J278" i="9"/>
  <c r="J284" i="9"/>
  <c r="J285" i="9" s="1"/>
  <c r="J294" i="9" s="1"/>
  <c r="J295" i="9" s="1"/>
  <c r="F345" i="9" s="1"/>
  <c r="I345" i="9" s="1"/>
  <c r="J345" i="9" s="1"/>
  <c r="J279" i="9"/>
  <c r="J138" i="19"/>
  <c r="J135" i="19"/>
  <c r="J136" i="19"/>
  <c r="J134" i="19"/>
  <c r="J139" i="19" s="1"/>
  <c r="J148" i="19" s="1"/>
  <c r="J150" i="19" s="1"/>
  <c r="J272" i="8"/>
  <c r="J167" i="8"/>
  <c r="P56" i="15"/>
  <c r="M56" i="15"/>
  <c r="Q58" i="15" s="1"/>
  <c r="L59" i="15"/>
  <c r="M58" i="15"/>
  <c r="L61" i="15"/>
  <c r="P58" i="15"/>
  <c r="H224" i="17"/>
  <c r="J191" i="17"/>
  <c r="J193" i="17" s="1"/>
  <c r="J163" i="17"/>
  <c r="J140" i="18"/>
  <c r="J149" i="18" s="1"/>
  <c r="J272" i="12"/>
  <c r="J164" i="13"/>
  <c r="J272" i="13"/>
  <c r="J285" i="10"/>
  <c r="J294" i="10" s="1"/>
  <c r="J295" i="10" s="1"/>
  <c r="F345" i="10" s="1"/>
  <c r="J176" i="10"/>
  <c r="J171" i="10"/>
  <c r="J170" i="10"/>
  <c r="J272" i="11"/>
  <c r="J135" i="21"/>
  <c r="J134" i="21"/>
  <c r="J138" i="21"/>
  <c r="J136" i="21"/>
  <c r="J167" i="9"/>
  <c r="L57" i="15"/>
  <c r="M54" i="15"/>
  <c r="P54" i="15"/>
  <c r="J179" i="12" l="1"/>
  <c r="J273" i="7"/>
  <c r="J274" i="7" s="1"/>
  <c r="J275" i="7" s="1"/>
  <c r="J171" i="11"/>
  <c r="J176" i="11"/>
  <c r="J170" i="11"/>
  <c r="J164" i="17"/>
  <c r="J179" i="7"/>
  <c r="J177" i="7"/>
  <c r="J194" i="7" s="1"/>
  <c r="J195" i="7" s="1"/>
  <c r="F203" i="7" s="1"/>
  <c r="I203" i="7" s="1"/>
  <c r="J273" i="11"/>
  <c r="J274" i="11" s="1"/>
  <c r="J275" i="11" s="1"/>
  <c r="J179" i="10"/>
  <c r="J273" i="12"/>
  <c r="J274" i="12" s="1"/>
  <c r="J275" i="12"/>
  <c r="J177" i="12"/>
  <c r="J194" i="12" s="1"/>
  <c r="J195" i="12" s="1"/>
  <c r="F203" i="12" s="1"/>
  <c r="I203" i="12" s="1"/>
  <c r="J273" i="8"/>
  <c r="J274" i="8" s="1"/>
  <c r="J275" i="8"/>
  <c r="J177" i="10"/>
  <c r="J194" i="10" s="1"/>
  <c r="J195" i="10" s="1"/>
  <c r="F203" i="10" s="1"/>
  <c r="I203" i="10" s="1"/>
  <c r="J273" i="13"/>
  <c r="J274" i="13" s="1"/>
  <c r="J275" i="13" s="1"/>
  <c r="J165" i="13"/>
  <c r="J166" i="13" s="1"/>
  <c r="L60" i="15"/>
  <c r="M57" i="15"/>
  <c r="P57" i="15"/>
  <c r="M61" i="15"/>
  <c r="L64" i="15"/>
  <c r="P61" i="15"/>
  <c r="J171" i="9"/>
  <c r="J176" i="9"/>
  <c r="J170" i="9"/>
  <c r="J139" i="20"/>
  <c r="J148" i="20" s="1"/>
  <c r="J150" i="20" s="1"/>
  <c r="J176" i="8"/>
  <c r="J171" i="8"/>
  <c r="J170" i="8"/>
  <c r="J191" i="19"/>
  <c r="J193" i="19" s="1"/>
  <c r="J163" i="19"/>
  <c r="J151" i="18"/>
  <c r="G225" i="18"/>
  <c r="L62" i="15"/>
  <c r="M59" i="15"/>
  <c r="P59" i="15"/>
  <c r="J139" i="21"/>
  <c r="J148" i="21" s="1"/>
  <c r="J150" i="21" s="1"/>
  <c r="J278" i="11" l="1"/>
  <c r="J284" i="11"/>
  <c r="J279" i="11"/>
  <c r="L63" i="15"/>
  <c r="M60" i="15"/>
  <c r="P60" i="15"/>
  <c r="F344" i="12"/>
  <c r="I207" i="12"/>
  <c r="H211" i="12" s="1"/>
  <c r="H215" i="12" s="1"/>
  <c r="M62" i="15"/>
  <c r="L65" i="15"/>
  <c r="P62" i="15"/>
  <c r="J285" i="11"/>
  <c r="J294" i="11" s="1"/>
  <c r="J295" i="11" s="1"/>
  <c r="F345" i="11" s="1"/>
  <c r="I345" i="11" s="1"/>
  <c r="J345" i="11" s="1"/>
  <c r="J279" i="13"/>
  <c r="J278" i="13"/>
  <c r="J284" i="13"/>
  <c r="J278" i="8"/>
  <c r="J285" i="8" s="1"/>
  <c r="J294" i="8" s="1"/>
  <c r="J295" i="8" s="1"/>
  <c r="F345" i="8" s="1"/>
  <c r="J284" i="8"/>
  <c r="J279" i="8"/>
  <c r="J191" i="21"/>
  <c r="J193" i="21" s="1"/>
  <c r="J163" i="21"/>
  <c r="J192" i="18"/>
  <c r="J194" i="18" s="1"/>
  <c r="J164" i="18"/>
  <c r="J164" i="19"/>
  <c r="F344" i="10"/>
  <c r="I207" i="10"/>
  <c r="H211" i="10" s="1"/>
  <c r="H215" i="10" s="1"/>
  <c r="F344" i="7"/>
  <c r="I207" i="7"/>
  <c r="H211" i="7" s="1"/>
  <c r="H215" i="7" s="1"/>
  <c r="J279" i="12"/>
  <c r="J284" i="12"/>
  <c r="J278" i="12"/>
  <c r="J285" i="12" s="1"/>
  <c r="J294" i="12" s="1"/>
  <c r="J295" i="12" s="1"/>
  <c r="F345" i="12" s="1"/>
  <c r="I345" i="12" s="1"/>
  <c r="J345" i="12" s="1"/>
  <c r="J179" i="8"/>
  <c r="J177" i="8"/>
  <c r="J194" i="8" s="1"/>
  <c r="J195" i="8" s="1"/>
  <c r="F203" i="8" s="1"/>
  <c r="I203" i="8" s="1"/>
  <c r="J191" i="20"/>
  <c r="J193" i="20" s="1"/>
  <c r="J163" i="20"/>
  <c r="Q61" i="15"/>
  <c r="H225" i="18"/>
  <c r="J165" i="17"/>
  <c r="J166" i="17" s="1"/>
  <c r="J167" i="17" s="1"/>
  <c r="J284" i="7"/>
  <c r="J278" i="7"/>
  <c r="J279" i="7"/>
  <c r="J167" i="13"/>
  <c r="J179" i="11"/>
  <c r="J177" i="11"/>
  <c r="J194" i="11" s="1"/>
  <c r="J195" i="11" s="1"/>
  <c r="F203" i="11" s="1"/>
  <c r="I203" i="11" s="1"/>
  <c r="J179" i="9"/>
  <c r="J177" i="9"/>
  <c r="J194" i="9" s="1"/>
  <c r="J195" i="9" s="1"/>
  <c r="F203" i="9" s="1"/>
  <c r="I203" i="9" s="1"/>
  <c r="J285" i="7"/>
  <c r="J294" i="7" s="1"/>
  <c r="J295" i="7" s="1"/>
  <c r="F345" i="7" s="1"/>
  <c r="M64" i="15"/>
  <c r="L67" i="15"/>
  <c r="P64" i="15"/>
  <c r="F344" i="9" l="1"/>
  <c r="I207" i="9"/>
  <c r="H211" i="9" s="1"/>
  <c r="H215" i="9" s="1"/>
  <c r="I344" i="10"/>
  <c r="J344" i="10" s="1"/>
  <c r="J347" i="10" s="1"/>
  <c r="G17" i="5"/>
  <c r="H17" i="5" s="1"/>
  <c r="M67" i="15"/>
  <c r="L70" i="15"/>
  <c r="P67" i="15"/>
  <c r="F344" i="11"/>
  <c r="I207" i="11"/>
  <c r="H211" i="11" s="1"/>
  <c r="H215" i="11" s="1"/>
  <c r="J165" i="19"/>
  <c r="J166" i="19" s="1"/>
  <c r="J167" i="19" s="1"/>
  <c r="J171" i="13"/>
  <c r="J170" i="13"/>
  <c r="J176" i="13"/>
  <c r="I344" i="12"/>
  <c r="J344" i="12" s="1"/>
  <c r="J347" i="12" s="1"/>
  <c r="G19" i="5"/>
  <c r="H19" i="5" s="1"/>
  <c r="J164" i="21"/>
  <c r="J285" i="13"/>
  <c r="J294" i="13" s="1"/>
  <c r="J295" i="13" s="1"/>
  <c r="F345" i="13" s="1"/>
  <c r="J165" i="18"/>
  <c r="M65" i="15"/>
  <c r="P65" i="15"/>
  <c r="L68" i="15"/>
  <c r="J177" i="17"/>
  <c r="J164" i="20"/>
  <c r="Q64" i="15"/>
  <c r="F344" i="8"/>
  <c r="I207" i="8"/>
  <c r="H211" i="8" s="1"/>
  <c r="H215" i="8" s="1"/>
  <c r="G14" i="5"/>
  <c r="H14" i="5" s="1"/>
  <c r="I344" i="7"/>
  <c r="J344" i="7" s="1"/>
  <c r="J347" i="7" s="1"/>
  <c r="J171" i="17"/>
  <c r="J170" i="17"/>
  <c r="J176" i="17"/>
  <c r="M63" i="15"/>
  <c r="L66" i="15"/>
  <c r="P63" i="15"/>
  <c r="G226" i="17" l="1"/>
  <c r="J194" i="17"/>
  <c r="J195" i="17" s="1"/>
  <c r="F203" i="17" s="1"/>
  <c r="I203" i="17" s="1"/>
  <c r="I207" i="17" s="1"/>
  <c r="J166" i="18"/>
  <c r="J167" i="18" s="1"/>
  <c r="M68" i="15"/>
  <c r="L71" i="15"/>
  <c r="P68" i="15"/>
  <c r="J179" i="13"/>
  <c r="J177" i="13"/>
  <c r="J194" i="13" s="1"/>
  <c r="J195" i="13" s="1"/>
  <c r="F203" i="13" s="1"/>
  <c r="I203" i="13" s="1"/>
  <c r="J165" i="21"/>
  <c r="J166" i="21" s="1"/>
  <c r="J167" i="21" s="1"/>
  <c r="Q67" i="15"/>
  <c r="J168" i="18"/>
  <c r="J176" i="19"/>
  <c r="J171" i="19"/>
  <c r="J170" i="19"/>
  <c r="G18" i="5"/>
  <c r="H18" i="5" s="1"/>
  <c r="I344" i="11"/>
  <c r="J344" i="11" s="1"/>
  <c r="J347" i="11" s="1"/>
  <c r="L73" i="15"/>
  <c r="M70" i="15"/>
  <c r="P70" i="15"/>
  <c r="I14" i="5"/>
  <c r="J14" i="5"/>
  <c r="J165" i="20"/>
  <c r="J166" i="20" s="1"/>
  <c r="J167" i="20" s="1"/>
  <c r="J19" i="5"/>
  <c r="I19" i="5"/>
  <c r="L69" i="15"/>
  <c r="M66" i="15"/>
  <c r="P66" i="15"/>
  <c r="J179" i="17"/>
  <c r="I17" i="5"/>
  <c r="J17" i="5"/>
  <c r="I344" i="8"/>
  <c r="J344" i="8" s="1"/>
  <c r="J347" i="8" s="1"/>
  <c r="G15" i="5"/>
  <c r="H15" i="5" s="1"/>
  <c r="I344" i="9"/>
  <c r="J344" i="9" s="1"/>
  <c r="J347" i="9" s="1"/>
  <c r="G16" i="5"/>
  <c r="H16" i="5" s="1"/>
  <c r="J171" i="21" l="1"/>
  <c r="J170" i="21"/>
  <c r="J176" i="21"/>
  <c r="P19" i="5"/>
  <c r="Q19" i="5" s="1"/>
  <c r="K19" i="5"/>
  <c r="N19" i="5"/>
  <c r="O19" i="5" s="1"/>
  <c r="I18" i="5"/>
  <c r="J18" i="5"/>
  <c r="J177" i="18"/>
  <c r="J171" i="18"/>
  <c r="J172" i="18"/>
  <c r="J176" i="20"/>
  <c r="J171" i="20"/>
  <c r="J170" i="20"/>
  <c r="P14" i="5"/>
  <c r="K14" i="5"/>
  <c r="N14" i="5"/>
  <c r="F344" i="13"/>
  <c r="I207" i="13"/>
  <c r="H211" i="13" s="1"/>
  <c r="H215" i="13" s="1"/>
  <c r="J15" i="5"/>
  <c r="I15" i="5"/>
  <c r="I16" i="5"/>
  <c r="J16" i="5"/>
  <c r="H211" i="17"/>
  <c r="H215" i="17" s="1"/>
  <c r="L72" i="15"/>
  <c r="M69" i="15"/>
  <c r="P69" i="15"/>
  <c r="Q70" i="15" s="1"/>
  <c r="M73" i="15"/>
  <c r="L76" i="15"/>
  <c r="P73" i="15"/>
  <c r="J179" i="19"/>
  <c r="J177" i="19"/>
  <c r="J194" i="19" s="1"/>
  <c r="J195" i="19" s="1"/>
  <c r="F203" i="19" s="1"/>
  <c r="I203" i="19" s="1"/>
  <c r="I207" i="19" s="1"/>
  <c r="H211" i="19" s="1"/>
  <c r="H215" i="19" s="1"/>
  <c r="M71" i="15"/>
  <c r="Q73" i="15" s="1"/>
  <c r="P71" i="15"/>
  <c r="P17" i="5"/>
  <c r="Q17" i="5" s="1"/>
  <c r="K17" i="5"/>
  <c r="N17" i="5"/>
  <c r="O17" i="5" s="1"/>
  <c r="H226" i="17"/>
  <c r="H227" i="17" s="1"/>
  <c r="G230" i="17" s="1"/>
  <c r="F226" i="17"/>
  <c r="G227" i="17"/>
  <c r="F224" i="17"/>
  <c r="F225" i="17"/>
  <c r="I344" i="13" l="1"/>
  <c r="J344" i="13" s="1"/>
  <c r="J347" i="13" s="1"/>
  <c r="G20" i="5"/>
  <c r="H20" i="5" s="1"/>
  <c r="P16" i="5"/>
  <c r="Q16" i="5" s="1"/>
  <c r="K16" i="5"/>
  <c r="N16" i="5"/>
  <c r="O16" i="5" s="1"/>
  <c r="N15" i="5"/>
  <c r="O15" i="5" s="1"/>
  <c r="K15" i="5"/>
  <c r="P15" i="5"/>
  <c r="Q15" i="5" s="1"/>
  <c r="O14" i="5"/>
  <c r="Q14" i="5"/>
  <c r="L75" i="15"/>
  <c r="L78" i="15" s="1"/>
  <c r="M72" i="15"/>
  <c r="P72" i="15"/>
  <c r="P74" i="15" s="1"/>
  <c r="F227" i="17"/>
  <c r="J180" i="18"/>
  <c r="P18" i="5"/>
  <c r="Q18" i="5" s="1"/>
  <c r="K18" i="5"/>
  <c r="N18" i="5"/>
  <c r="O18" i="5" s="1"/>
  <c r="Q74" i="15"/>
  <c r="P76" i="15"/>
  <c r="L79" i="15"/>
  <c r="M76" i="15"/>
  <c r="L77" i="15"/>
  <c r="J179" i="20"/>
  <c r="G233" i="17"/>
  <c r="J233" i="17" s="1"/>
  <c r="G231" i="17"/>
  <c r="J231" i="17" s="1"/>
  <c r="G234" i="17"/>
  <c r="J234" i="17" s="1"/>
  <c r="G232" i="17"/>
  <c r="J232" i="17" s="1"/>
  <c r="J177" i="20"/>
  <c r="J194" i="20" s="1"/>
  <c r="J195" i="20" s="1"/>
  <c r="F203" i="20" s="1"/>
  <c r="I203" i="20" s="1"/>
  <c r="I207" i="20" s="1"/>
  <c r="H211" i="20" s="1"/>
  <c r="H215" i="20" s="1"/>
  <c r="J179" i="21"/>
  <c r="J177" i="21"/>
  <c r="J194" i="21" s="1"/>
  <c r="J195" i="21" s="1"/>
  <c r="F203" i="21" s="1"/>
  <c r="I203" i="21" s="1"/>
  <c r="I207" i="21" s="1"/>
  <c r="H211" i="21" s="1"/>
  <c r="H215" i="21" s="1"/>
  <c r="J178" i="18"/>
  <c r="J235" i="17" l="1"/>
  <c r="I240" i="17"/>
  <c r="L80" i="15"/>
  <c r="P77" i="15"/>
  <c r="M77" i="15"/>
  <c r="L82" i="15"/>
  <c r="M79" i="15"/>
  <c r="Q81" i="15" s="1"/>
  <c r="P79" i="15"/>
  <c r="M78" i="15"/>
  <c r="L81" i="15"/>
  <c r="P78" i="15"/>
  <c r="J20" i="5"/>
  <c r="I20" i="5"/>
  <c r="I23" i="5" s="1"/>
  <c r="G227" i="18"/>
  <c r="J195" i="18"/>
  <c r="J196" i="18" s="1"/>
  <c r="F204" i="18" s="1"/>
  <c r="I204" i="18" s="1"/>
  <c r="I208" i="18" s="1"/>
  <c r="F227" i="18" l="1"/>
  <c r="H227" i="18"/>
  <c r="H228" i="18" s="1"/>
  <c r="G231" i="18" s="1"/>
  <c r="F225" i="18"/>
  <c r="F226" i="18"/>
  <c r="G228" i="18"/>
  <c r="L83" i="15"/>
  <c r="M80" i="15"/>
  <c r="P80" i="15"/>
  <c r="H212" i="18"/>
  <c r="H216" i="18" s="1"/>
  <c r="K20" i="5"/>
  <c r="P20" i="5"/>
  <c r="N20" i="5"/>
  <c r="J23" i="5"/>
  <c r="L84" i="15"/>
  <c r="M81" i="15"/>
  <c r="P81" i="15"/>
  <c r="M82" i="15"/>
  <c r="P82" i="15"/>
  <c r="L85" i="15"/>
  <c r="Q78" i="15"/>
  <c r="Q20" i="5" l="1"/>
  <c r="Q23" i="5" s="1"/>
  <c r="P23" i="5"/>
  <c r="F228" i="18"/>
  <c r="M85" i="15"/>
  <c r="Q87" i="15" s="1"/>
  <c r="L88" i="15"/>
  <c r="P85" i="15"/>
  <c r="M84" i="15"/>
  <c r="L87" i="15"/>
  <c r="P84" i="15"/>
  <c r="O20" i="5"/>
  <c r="O23" i="5" s="1"/>
  <c r="N23" i="5"/>
  <c r="L86" i="15"/>
  <c r="M83" i="15"/>
  <c r="P83" i="15"/>
  <c r="Q84" i="15" s="1"/>
  <c r="G232" i="18"/>
  <c r="J232" i="18" s="1"/>
  <c r="G234" i="18"/>
  <c r="J234" i="18" s="1"/>
  <c r="G235" i="18"/>
  <c r="J235" i="18" s="1"/>
  <c r="G233" i="18"/>
  <c r="J233" i="18" s="1"/>
  <c r="J236" i="18" l="1"/>
  <c r="I241" i="18"/>
  <c r="M86" i="15"/>
  <c r="L89" i="15"/>
  <c r="P86" i="15"/>
  <c r="L90" i="15"/>
  <c r="M87" i="15"/>
  <c r="P87" i="15"/>
  <c r="M88" i="15"/>
  <c r="L91" i="15"/>
  <c r="P88" i="15"/>
  <c r="M91" i="15" l="1"/>
  <c r="Q93" i="15" s="1"/>
  <c r="L94" i="15"/>
  <c r="P91" i="15"/>
  <c r="M90" i="15"/>
  <c r="L93" i="15"/>
  <c r="P90" i="15"/>
  <c r="M89" i="15"/>
  <c r="P89" i="15"/>
  <c r="Q90" i="15" s="1"/>
  <c r="L92" i="15"/>
  <c r="L95" i="15" l="1"/>
  <c r="M92" i="15"/>
  <c r="P92" i="15"/>
  <c r="L96" i="15"/>
  <c r="M93" i="15"/>
  <c r="P93" i="15"/>
  <c r="M94" i="15"/>
  <c r="P94" i="15"/>
  <c r="L99" i="15" l="1"/>
  <c r="M96" i="15"/>
  <c r="P96" i="15"/>
  <c r="L98" i="15"/>
  <c r="L101" i="15" s="1"/>
  <c r="M95" i="15"/>
  <c r="P95" i="15"/>
  <c r="Q96" i="15" s="1"/>
  <c r="Q97" i="15" s="1"/>
  <c r="M101" i="15" l="1"/>
  <c r="L104" i="15"/>
  <c r="P101" i="15"/>
  <c r="P97" i="15"/>
  <c r="L102" i="15"/>
  <c r="M99" i="15"/>
  <c r="Q101" i="15" s="1"/>
  <c r="P99" i="15"/>
  <c r="L103" i="15" l="1"/>
  <c r="M102" i="15"/>
  <c r="L105" i="15"/>
  <c r="P102" i="15"/>
  <c r="M104" i="15"/>
  <c r="L107" i="15"/>
  <c r="P104" i="15"/>
  <c r="L110" i="15" l="1"/>
  <c r="M107" i="15"/>
  <c r="P107" i="15"/>
  <c r="L108" i="15"/>
  <c r="M105" i="15"/>
  <c r="P105" i="15"/>
  <c r="M103" i="15"/>
  <c r="L106" i="15"/>
  <c r="P103" i="15"/>
  <c r="M106" i="15" l="1"/>
  <c r="P106" i="15"/>
  <c r="L109" i="15"/>
  <c r="Q104" i="15"/>
  <c r="Q107" i="15"/>
  <c r="P108" i="15"/>
  <c r="L111" i="15"/>
  <c r="M108" i="15"/>
  <c r="Q110" i="15" s="1"/>
  <c r="L113" i="15"/>
  <c r="P110" i="15"/>
  <c r="M110" i="15"/>
  <c r="L116" i="15" l="1"/>
  <c r="M113" i="15"/>
  <c r="P113" i="15"/>
  <c r="L114" i="15"/>
  <c r="P111" i="15"/>
  <c r="M111" i="15"/>
  <c r="L112" i="15"/>
  <c r="M109" i="15"/>
  <c r="P109" i="15"/>
  <c r="M112" i="15" l="1"/>
  <c r="L115" i="15"/>
  <c r="P112" i="15"/>
  <c r="Q113" i="15"/>
  <c r="L117" i="15"/>
  <c r="M114" i="15"/>
  <c r="Q116" i="15" s="1"/>
  <c r="P114" i="15"/>
  <c r="M116" i="15"/>
  <c r="L119" i="15"/>
  <c r="P116" i="15"/>
  <c r="L122" i="15" l="1"/>
  <c r="P119" i="15"/>
  <c r="M119" i="15"/>
  <c r="M117" i="15"/>
  <c r="Q119" i="15" s="1"/>
  <c r="P117" i="15"/>
  <c r="Q120" i="15"/>
  <c r="L118" i="15"/>
  <c r="M115" i="15"/>
  <c r="P115" i="15"/>
  <c r="M118" i="15" l="1"/>
  <c r="L121" i="15"/>
  <c r="L124" i="15" s="1"/>
  <c r="P118" i="15"/>
  <c r="P120" i="15"/>
  <c r="M122" i="15"/>
  <c r="Q124" i="15" s="1"/>
  <c r="P122" i="15"/>
  <c r="L125" i="15"/>
  <c r="M125" i="15" l="1"/>
  <c r="Q127" i="15" s="1"/>
  <c r="L128" i="15"/>
  <c r="P125" i="15"/>
  <c r="L127" i="15"/>
  <c r="M124" i="15"/>
  <c r="P124" i="15"/>
  <c r="M127" i="15" l="1"/>
  <c r="L130" i="15"/>
  <c r="P127" i="15"/>
  <c r="L129" i="15"/>
  <c r="M128" i="15"/>
  <c r="L131" i="15"/>
  <c r="P128" i="15"/>
  <c r="M131" i="15" l="1"/>
  <c r="Q133" i="15" s="1"/>
  <c r="L134" i="15"/>
  <c r="P131" i="15"/>
  <c r="M129" i="15"/>
  <c r="L132" i="15"/>
  <c r="P129" i="15"/>
  <c r="Q130" i="15" s="1"/>
  <c r="M130" i="15"/>
  <c r="L133" i="15"/>
  <c r="P130" i="15"/>
  <c r="L136" i="15" l="1"/>
  <c r="P133" i="15"/>
  <c r="M133" i="15"/>
  <c r="M132" i="15"/>
  <c r="L135" i="15"/>
  <c r="P132" i="15"/>
  <c r="M134" i="15"/>
  <c r="L137" i="15"/>
  <c r="P134" i="15"/>
  <c r="P137" i="15" l="1"/>
  <c r="L140" i="15"/>
  <c r="M137" i="15"/>
  <c r="M135" i="15"/>
  <c r="L138" i="15"/>
  <c r="P135" i="15"/>
  <c r="Q136" i="15" s="1"/>
  <c r="M136" i="15"/>
  <c r="L139" i="15"/>
  <c r="P136" i="15"/>
  <c r="M139" i="15" l="1"/>
  <c r="L142" i="15"/>
  <c r="P139" i="15"/>
  <c r="M138" i="15"/>
  <c r="L141" i="15"/>
  <c r="P138" i="15"/>
  <c r="Q139" i="15"/>
  <c r="M140" i="15"/>
  <c r="Q142" i="15" s="1"/>
  <c r="Q143" i="15" s="1"/>
  <c r="P140" i="15"/>
  <c r="L145" i="15" l="1"/>
  <c r="M142" i="15"/>
  <c r="P142" i="15"/>
  <c r="L144" i="15"/>
  <c r="L147" i="15" s="1"/>
  <c r="M141" i="15"/>
  <c r="P141" i="15"/>
  <c r="M147" i="15" l="1"/>
  <c r="L150" i="15"/>
  <c r="P147" i="15"/>
  <c r="P143" i="15"/>
  <c r="L148" i="15"/>
  <c r="M145" i="15"/>
  <c r="Q147" i="15" s="1"/>
  <c r="P145" i="15"/>
  <c r="L151" i="15" l="1"/>
  <c r="P148" i="15"/>
  <c r="M148" i="15"/>
  <c r="Q150" i="15" s="1"/>
  <c r="M150" i="15"/>
  <c r="L153" i="15"/>
  <c r="P150" i="15"/>
  <c r="L156" i="15" l="1"/>
  <c r="M153" i="15"/>
  <c r="P153" i="15"/>
  <c r="M151" i="15"/>
  <c r="Q153" i="15" s="1"/>
  <c r="L154" i="15"/>
  <c r="P151" i="15"/>
  <c r="M154" i="15" l="1"/>
  <c r="Q156" i="15" s="1"/>
  <c r="L157" i="15"/>
  <c r="P154" i="15"/>
  <c r="M156" i="15"/>
  <c r="L159" i="15"/>
  <c r="P156" i="15"/>
  <c r="L162" i="15" l="1"/>
  <c r="M159" i="15"/>
  <c r="P159" i="15"/>
  <c r="L160" i="15"/>
  <c r="M157" i="15"/>
  <c r="Q159" i="15" s="1"/>
  <c r="P157" i="15"/>
  <c r="M160" i="15" l="1"/>
  <c r="Q162" i="15" s="1"/>
  <c r="L163" i="15"/>
  <c r="P160" i="15"/>
  <c r="L165" i="15"/>
  <c r="M162" i="15"/>
  <c r="P162" i="15"/>
  <c r="M165" i="15" l="1"/>
  <c r="L168" i="15"/>
  <c r="P165" i="15"/>
  <c r="M163" i="15"/>
  <c r="Q165" i="15" s="1"/>
  <c r="Q166" i="15" s="1"/>
  <c r="P163" i="15"/>
  <c r="P166" i="15" s="1"/>
  <c r="L171" i="15" l="1"/>
  <c r="M168" i="15"/>
  <c r="L169" i="15"/>
  <c r="P168" i="15"/>
  <c r="M169" i="15" l="1"/>
  <c r="L170" i="15"/>
  <c r="L172" i="15"/>
  <c r="P169" i="15"/>
  <c r="M171" i="15"/>
  <c r="Q173" i="15" s="1"/>
  <c r="P171" i="15"/>
  <c r="L174" i="15"/>
  <c r="L177" i="15" l="1"/>
  <c r="M174" i="15"/>
  <c r="P174" i="15"/>
  <c r="L175" i="15"/>
  <c r="M172" i="15"/>
  <c r="P172" i="15"/>
  <c r="L173" i="15"/>
  <c r="M170" i="15"/>
  <c r="P170" i="15"/>
  <c r="Q170" i="15" s="1"/>
  <c r="M173" i="15" l="1"/>
  <c r="L176" i="15"/>
  <c r="P173" i="15"/>
  <c r="P175" i="15"/>
  <c r="M175" i="15"/>
  <c r="L178" i="15"/>
  <c r="L180" i="15"/>
  <c r="M177" i="15"/>
  <c r="P177" i="15"/>
  <c r="M180" i="15" l="1"/>
  <c r="Q182" i="15" s="1"/>
  <c r="L183" i="15"/>
  <c r="P180" i="15"/>
  <c r="M178" i="15"/>
  <c r="L181" i="15"/>
  <c r="P178" i="15"/>
  <c r="L179" i="15"/>
  <c r="M176" i="15"/>
  <c r="P176" i="15"/>
  <c r="Q176" i="15" s="1"/>
  <c r="M179" i="15" l="1"/>
  <c r="L182" i="15"/>
  <c r="P179" i="15"/>
  <c r="Q179" i="15" s="1"/>
  <c r="L184" i="15"/>
  <c r="P181" i="15"/>
  <c r="M181" i="15"/>
  <c r="L186" i="15"/>
  <c r="M183" i="15"/>
  <c r="P183" i="15"/>
  <c r="M186" i="15" l="1"/>
  <c r="P186" i="15"/>
  <c r="M184" i="15"/>
  <c r="L187" i="15"/>
  <c r="P184" i="15"/>
  <c r="M182" i="15"/>
  <c r="L185" i="15"/>
  <c r="P182" i="15"/>
  <c r="L188" i="15" l="1"/>
  <c r="M185" i="15"/>
  <c r="P185" i="15"/>
  <c r="Q185" i="15" s="1"/>
  <c r="L190" i="15"/>
  <c r="L193" i="15" s="1"/>
  <c r="P187" i="15"/>
  <c r="M187" i="15"/>
  <c r="L196" i="15" l="1"/>
  <c r="P193" i="15"/>
  <c r="M193" i="15"/>
  <c r="L191" i="15"/>
  <c r="M188" i="15"/>
  <c r="P188" i="15"/>
  <c r="P189" i="15" l="1"/>
  <c r="Q188" i="15"/>
  <c r="Q189" i="15" s="1"/>
  <c r="L194" i="15"/>
  <c r="M191" i="15"/>
  <c r="Q193" i="15" s="1"/>
  <c r="P191" i="15"/>
  <c r="L199" i="15"/>
  <c r="M196" i="15"/>
  <c r="P196" i="15"/>
  <c r="M199" i="15" l="1"/>
  <c r="L202" i="15"/>
  <c r="P199" i="15"/>
  <c r="L197" i="15"/>
  <c r="M194" i="15"/>
  <c r="Q196" i="15" s="1"/>
  <c r="P194" i="15"/>
  <c r="L198" i="15" l="1"/>
  <c r="M197" i="15"/>
  <c r="P197" i="15"/>
  <c r="L200" i="15"/>
  <c r="M202" i="15"/>
  <c r="L205" i="15"/>
  <c r="P202" i="15"/>
  <c r="L208" i="15" l="1"/>
  <c r="M205" i="15"/>
  <c r="P205" i="15"/>
  <c r="L203" i="15"/>
  <c r="M200" i="15"/>
  <c r="Q202" i="15" s="1"/>
  <c r="P200" i="15"/>
  <c r="L201" i="15"/>
  <c r="M198" i="15"/>
  <c r="P198" i="15"/>
  <c r="Q199" i="15" s="1"/>
  <c r="M201" i="15" l="1"/>
  <c r="L204" i="15"/>
  <c r="P201" i="15"/>
  <c r="L206" i="15"/>
  <c r="M203" i="15"/>
  <c r="Q205" i="15" s="1"/>
  <c r="P203" i="15"/>
  <c r="M208" i="15"/>
  <c r="L211" i="15"/>
  <c r="P208" i="15"/>
  <c r="P211" i="15" l="1"/>
  <c r="L214" i="15"/>
  <c r="M211" i="15"/>
  <c r="M206" i="15"/>
  <c r="Q208" i="15" s="1"/>
  <c r="L209" i="15"/>
  <c r="P206" i="15"/>
  <c r="M204" i="15"/>
  <c r="L207" i="15"/>
  <c r="P204" i="15"/>
  <c r="L210" i="15" l="1"/>
  <c r="P207" i="15"/>
  <c r="M207" i="15"/>
  <c r="P209" i="15"/>
  <c r="M209" i="15"/>
  <c r="Q211" i="15" s="1"/>
  <c r="Q212" i="15" s="1"/>
  <c r="L217" i="15"/>
  <c r="M214" i="15"/>
  <c r="P214" i="15"/>
  <c r="M217" i="15" l="1"/>
  <c r="Q219" i="15" s="1"/>
  <c r="L220" i="15"/>
  <c r="P217" i="15"/>
  <c r="L213" i="15"/>
  <c r="L216" i="15" s="1"/>
  <c r="M210" i="15"/>
  <c r="P210" i="15"/>
  <c r="P212" i="15" s="1"/>
  <c r="L219" i="15" l="1"/>
  <c r="P216" i="15"/>
  <c r="M216" i="15"/>
  <c r="L223" i="15"/>
  <c r="L221" i="15"/>
  <c r="M220" i="15"/>
  <c r="P220" i="15"/>
  <c r="L224" i="15" l="1"/>
  <c r="M221" i="15"/>
  <c r="P221" i="15"/>
  <c r="M223" i="15"/>
  <c r="L226" i="15"/>
  <c r="P223" i="15"/>
  <c r="Q216" i="15"/>
  <c r="M219" i="15"/>
  <c r="L222" i="15"/>
  <c r="P219" i="15"/>
  <c r="M222" i="15" l="1"/>
  <c r="L225" i="15"/>
  <c r="P222" i="15"/>
  <c r="Q222" i="15" s="1"/>
  <c r="M226" i="15"/>
  <c r="L229" i="15"/>
  <c r="P226" i="15"/>
  <c r="M224" i="15"/>
  <c r="L227" i="15"/>
  <c r="P224" i="15"/>
  <c r="L232" i="15" l="1"/>
  <c r="M229" i="15"/>
  <c r="Q231" i="15" s="1"/>
  <c r="P229" i="15"/>
  <c r="L230" i="15"/>
  <c r="M227" i="15"/>
  <c r="P227" i="15"/>
  <c r="L228" i="15"/>
  <c r="M225" i="15"/>
  <c r="P225" i="15"/>
  <c r="Q225" i="15" s="1"/>
  <c r="M228" i="15" l="1"/>
  <c r="P228" i="15"/>
  <c r="Q228" i="15" s="1"/>
  <c r="L231" i="15"/>
  <c r="M230" i="15"/>
  <c r="L233" i="15"/>
  <c r="P230" i="15"/>
  <c r="M232" i="15"/>
  <c r="Q234" i="15" s="1"/>
  <c r="Q235" i="15" s="1"/>
  <c r="P232" i="15"/>
  <c r="L236" i="15" l="1"/>
  <c r="L239" i="15" s="1"/>
  <c r="M233" i="15"/>
  <c r="P233" i="15"/>
  <c r="L234" i="15"/>
  <c r="P231" i="15"/>
  <c r="M231" i="15"/>
  <c r="M234" i="15" l="1"/>
  <c r="L237" i="15"/>
  <c r="P234" i="15"/>
  <c r="P235" i="15" s="1"/>
  <c r="M239" i="15"/>
  <c r="L242" i="15"/>
  <c r="P239" i="15"/>
  <c r="L245" i="15" l="1"/>
  <c r="M242" i="15"/>
  <c r="P242" i="15"/>
  <c r="L240" i="15"/>
  <c r="M237" i="15"/>
  <c r="P237" i="15"/>
  <c r="Q239" i="15" l="1"/>
  <c r="L243" i="15"/>
  <c r="M240" i="15"/>
  <c r="Q242" i="15" s="1"/>
  <c r="P240" i="15"/>
  <c r="M245" i="15"/>
  <c r="L248" i="15"/>
  <c r="P245" i="15"/>
  <c r="L251" i="15" l="1"/>
  <c r="M248" i="15"/>
  <c r="P248" i="15"/>
  <c r="M243" i="15"/>
  <c r="L246" i="15"/>
  <c r="P243" i="15"/>
  <c r="L249" i="15" l="1"/>
  <c r="M246" i="15"/>
  <c r="Q248" i="15" s="1"/>
  <c r="P246" i="15"/>
  <c r="Q245" i="15"/>
  <c r="L254" i="15"/>
  <c r="M251" i="15"/>
  <c r="P251" i="15"/>
  <c r="L257" i="15" l="1"/>
  <c r="M254" i="15"/>
  <c r="P254" i="15"/>
  <c r="L252" i="15"/>
  <c r="M249" i="15"/>
  <c r="P249" i="15"/>
  <c r="Q251" i="15" l="1"/>
  <c r="M252" i="15"/>
  <c r="Q254" i="15" s="1"/>
  <c r="L255" i="15"/>
  <c r="P252" i="15"/>
  <c r="M257" i="15"/>
  <c r="L260" i="15"/>
  <c r="P257" i="15"/>
  <c r="L263" i="15" l="1"/>
  <c r="M260" i="15"/>
  <c r="L261" i="15"/>
  <c r="P260" i="15"/>
  <c r="M255" i="15"/>
  <c r="Q257" i="15" s="1"/>
  <c r="P255" i="15"/>
  <c r="P258" i="15" s="1"/>
  <c r="Q258" i="15"/>
  <c r="L264" i="15" l="1"/>
  <c r="M261" i="15"/>
  <c r="L262" i="15"/>
  <c r="P261" i="15"/>
  <c r="L266" i="15"/>
  <c r="M263" i="15"/>
  <c r="P263" i="15"/>
  <c r="M266" i="15" l="1"/>
  <c r="L269" i="15"/>
  <c r="P266" i="15"/>
  <c r="M262" i="15"/>
  <c r="L265" i="15"/>
  <c r="P262" i="15"/>
  <c r="Q262" i="15" s="1"/>
  <c r="M264" i="15"/>
  <c r="L267" i="15"/>
  <c r="P264" i="15"/>
  <c r="L270" i="15" l="1"/>
  <c r="M267" i="15"/>
  <c r="P267" i="15"/>
  <c r="L268" i="15"/>
  <c r="M265" i="15"/>
  <c r="P265" i="15"/>
  <c r="L272" i="15"/>
  <c r="M269" i="15"/>
  <c r="P269" i="15"/>
  <c r="M272" i="15" l="1"/>
  <c r="Q274" i="15" s="1"/>
  <c r="L275" i="15"/>
  <c r="P272" i="15"/>
  <c r="M268" i="15"/>
  <c r="P268" i="15"/>
  <c r="Q268" i="15" s="1"/>
  <c r="M270" i="15"/>
  <c r="L273" i="15"/>
  <c r="L271" i="15"/>
  <c r="P270" i="15"/>
  <c r="Q265" i="15"/>
  <c r="L276" i="15" l="1"/>
  <c r="M273" i="15"/>
  <c r="P273" i="15"/>
  <c r="L274" i="15"/>
  <c r="M271" i="15"/>
  <c r="P271" i="15"/>
  <c r="Q271" i="15" s="1"/>
  <c r="L278" i="15"/>
  <c r="M275" i="15"/>
  <c r="Q277" i="15" s="1"/>
  <c r="P275" i="15"/>
  <c r="M274" i="15" l="1"/>
  <c r="L277" i="15"/>
  <c r="P274" i="15"/>
  <c r="M278" i="15"/>
  <c r="Q280" i="15" s="1"/>
  <c r="Q281" i="15" s="1"/>
  <c r="P278" i="15"/>
  <c r="M276" i="15"/>
  <c r="L279" i="15"/>
  <c r="P276" i="15"/>
  <c r="M279" i="15" l="1"/>
  <c r="L282" i="15"/>
  <c r="L285" i="15" s="1"/>
  <c r="P279" i="15"/>
  <c r="L280" i="15"/>
  <c r="M277" i="15"/>
  <c r="P277" i="15"/>
  <c r="L283" i="15" l="1"/>
  <c r="P280" i="15"/>
  <c r="P281" i="15" s="1"/>
  <c r="M280" i="15"/>
  <c r="M285" i="15"/>
  <c r="L288" i="15"/>
  <c r="P285" i="15"/>
  <c r="M288" i="15" l="1"/>
  <c r="L291" i="15"/>
  <c r="P288" i="15"/>
  <c r="M283" i="15"/>
  <c r="Q285" i="15" s="1"/>
  <c r="L286" i="15"/>
  <c r="P283" i="15"/>
  <c r="M286" i="15" l="1"/>
  <c r="Q288" i="15" s="1"/>
  <c r="L289" i="15"/>
  <c r="P286" i="15"/>
  <c r="M291" i="15"/>
  <c r="L294" i="15"/>
  <c r="P291" i="15"/>
  <c r="L297" i="15" l="1"/>
  <c r="M294" i="15"/>
  <c r="P294" i="15"/>
  <c r="L292" i="15"/>
  <c r="M289" i="15"/>
  <c r="Q291" i="15" s="1"/>
  <c r="P289" i="15"/>
  <c r="P292" i="15" l="1"/>
  <c r="M292" i="15"/>
  <c r="Q294" i="15" s="1"/>
  <c r="L295" i="15"/>
  <c r="L300" i="15"/>
  <c r="M297" i="15"/>
  <c r="P297" i="15"/>
  <c r="L298" i="15" l="1"/>
  <c r="L296" i="15"/>
  <c r="M295" i="15"/>
  <c r="P295" i="15"/>
  <c r="M300" i="15"/>
  <c r="L303" i="15"/>
  <c r="P300" i="15"/>
  <c r="L306" i="15" l="1"/>
  <c r="M303" i="15"/>
  <c r="P303" i="15"/>
  <c r="L299" i="15"/>
  <c r="M296" i="15"/>
  <c r="P296" i="15"/>
  <c r="Q297" i="15" s="1"/>
  <c r="M298" i="15"/>
  <c r="Q300" i="15" s="1"/>
  <c r="L301" i="15"/>
  <c r="P298" i="15"/>
  <c r="M301" i="15" l="1"/>
  <c r="Q303" i="15" s="1"/>
  <c r="Q304" i="15" s="1"/>
  <c r="P301" i="15"/>
  <c r="L302" i="15"/>
  <c r="P299" i="15"/>
  <c r="M299" i="15"/>
  <c r="L309" i="15"/>
  <c r="M306" i="15"/>
  <c r="Q308" i="15" s="1"/>
  <c r="P306" i="15"/>
  <c r="L312" i="15" l="1"/>
  <c r="M309" i="15"/>
  <c r="Q311" i="15" s="1"/>
  <c r="P309" i="15"/>
  <c r="L305" i="15"/>
  <c r="L308" i="15" s="1"/>
  <c r="M302" i="15"/>
  <c r="P302" i="15"/>
  <c r="P304" i="15" s="1"/>
  <c r="L311" i="15" l="1"/>
  <c r="M308" i="15"/>
  <c r="P308" i="15"/>
  <c r="M312" i="15"/>
  <c r="L315" i="15"/>
  <c r="L313" i="15"/>
  <c r="P312" i="15"/>
  <c r="L316" i="15" l="1"/>
  <c r="M313" i="15"/>
  <c r="P313" i="15"/>
  <c r="L318" i="15"/>
  <c r="M315" i="15"/>
  <c r="P315" i="15"/>
  <c r="M311" i="15"/>
  <c r="P311" i="15"/>
  <c r="L314" i="15"/>
  <c r="M314" i="15" l="1"/>
  <c r="L317" i="15"/>
  <c r="P314" i="15"/>
  <c r="Q314" i="15" s="1"/>
  <c r="M318" i="15"/>
  <c r="L321" i="15"/>
  <c r="P318" i="15"/>
  <c r="M316" i="15"/>
  <c r="L319" i="15"/>
  <c r="P316" i="15"/>
  <c r="M321" i="15" l="1"/>
  <c r="Q323" i="15" s="1"/>
  <c r="L324" i="15"/>
  <c r="P321" i="15"/>
  <c r="M319" i="15"/>
  <c r="L322" i="15"/>
  <c r="P319" i="15"/>
  <c r="M317" i="15"/>
  <c r="L320" i="15"/>
  <c r="P317" i="15"/>
  <c r="Q317" i="15" s="1"/>
  <c r="M320" i="15" l="1"/>
  <c r="P320" i="15"/>
  <c r="Q320" i="15" s="1"/>
  <c r="L323" i="15"/>
  <c r="M322" i="15"/>
  <c r="L325" i="15"/>
  <c r="P322" i="15"/>
  <c r="P324" i="15"/>
  <c r="M324" i="15"/>
  <c r="Q326" i="15" s="1"/>
  <c r="Q327" i="15" s="1"/>
  <c r="L328" i="15" l="1"/>
  <c r="L331" i="15" s="1"/>
  <c r="M325" i="15"/>
  <c r="P325" i="15"/>
  <c r="L326" i="15"/>
  <c r="P323" i="15"/>
  <c r="M323" i="15"/>
  <c r="M326" i="15" l="1"/>
  <c r="L329" i="15"/>
  <c r="P326" i="15"/>
  <c r="P327" i="15" s="1"/>
  <c r="M331" i="15"/>
  <c r="L334" i="15"/>
  <c r="P331" i="15"/>
  <c r="M334" i="15" l="1"/>
  <c r="L337" i="15"/>
  <c r="P334" i="15"/>
  <c r="L332" i="15"/>
  <c r="L330" i="15"/>
  <c r="M329" i="15"/>
  <c r="P329" i="15"/>
  <c r="L333" i="15" l="1"/>
  <c r="M330" i="15"/>
  <c r="P330" i="15"/>
  <c r="M332" i="15"/>
  <c r="L335" i="15"/>
  <c r="P332" i="15"/>
  <c r="M337" i="15"/>
  <c r="L340" i="15"/>
  <c r="P337" i="15"/>
  <c r="L343" i="15" l="1"/>
  <c r="P340" i="15"/>
  <c r="M340" i="15"/>
  <c r="L338" i="15"/>
  <c r="M335" i="15"/>
  <c r="P335" i="15"/>
  <c r="M333" i="15"/>
  <c r="L336" i="15"/>
  <c r="P333" i="15"/>
  <c r="Q331" i="15"/>
  <c r="M336" i="15" l="1"/>
  <c r="L339" i="15"/>
  <c r="P336" i="15"/>
  <c r="Q334" i="15"/>
  <c r="Q337" i="15"/>
  <c r="L341" i="15"/>
  <c r="M338" i="15"/>
  <c r="P338" i="15"/>
  <c r="L346" i="15"/>
  <c r="M343" i="15"/>
  <c r="P343" i="15"/>
  <c r="M346" i="15" l="1"/>
  <c r="P346" i="15"/>
  <c r="L349" i="15"/>
  <c r="L344" i="15"/>
  <c r="M341" i="15"/>
  <c r="Q343" i="15" s="1"/>
  <c r="P341" i="15"/>
  <c r="L342" i="15"/>
  <c r="M339" i="15"/>
  <c r="P339" i="15"/>
  <c r="Q340" i="15" s="1"/>
  <c r="L345" i="15" l="1"/>
  <c r="M342" i="15"/>
  <c r="P342" i="15"/>
  <c r="M344" i="15"/>
  <c r="P344" i="15"/>
  <c r="L347" i="15"/>
  <c r="M349" i="15"/>
  <c r="P349" i="15"/>
  <c r="M347" i="15" l="1"/>
  <c r="P347" i="15"/>
  <c r="L348" i="15"/>
  <c r="M345" i="15"/>
  <c r="P345" i="15"/>
  <c r="M348" i="15" l="1"/>
  <c r="P348" i="15"/>
  <c r="P350" i="15" s="1"/>
  <c r="P352" i="15" s="1"/>
  <c r="Q346" i="15"/>
  <c r="Q349" i="15"/>
  <c r="Q350" i="15" s="1"/>
  <c r="Q352" i="15" s="1"/>
  <c r="Q353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4" authorId="0" shapeId="0" xr:uid="{00000000-0006-0000-0100-000002000000}">
      <text>
        <r>
          <rPr>
            <sz val="11"/>
            <color rgb="FF000000"/>
            <rFont val="Calibri"/>
            <scheme val="minor"/>
          </rPr>
          <t>o transporte é seletivo</t>
        </r>
      </text>
    </comment>
    <comment ref="E20" authorId="0" shapeId="0" xr:uid="{00000000-0006-0000-0100-000001000000}">
      <text>
        <r>
          <rPr>
            <sz val="11"/>
            <color rgb="FF000000"/>
            <rFont val="Calibri"/>
            <scheme val="minor"/>
          </rPr>
          <t>sem transporte urbano na cidade</t>
        </r>
      </text>
    </comment>
    <comment ref="E22" authorId="0" shapeId="0" xr:uid="{00000000-0006-0000-0100-000004000000}">
      <text>
        <r>
          <rPr>
            <sz val="11"/>
            <color rgb="FF000000"/>
            <rFont val="Calibri"/>
            <scheme val="minor"/>
          </rPr>
          <t>sem transporte urbano na cidade</t>
        </r>
      </text>
    </comment>
    <comment ref="E23" authorId="0" shapeId="0" xr:uid="{00000000-0006-0000-0100-000003000000}">
      <text>
        <r>
          <rPr>
            <sz val="11"/>
            <color rgb="FF000000"/>
            <rFont val="Calibri"/>
            <scheme val="minor"/>
          </rPr>
          <t xml:space="preserve">sem transporte urbano na cidade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2" authorId="0" shapeId="0" xr:uid="{00000000-0006-0000-0C00-000007000000}">
      <text>
        <r>
          <rPr>
            <sz val="11"/>
            <color rgb="FF000000"/>
            <rFont val="Calibri"/>
            <scheme val="minor"/>
          </rPr>
          <t>Sob o Decreto 12.174, a base de cálculo para o salário mensal deixa de ser a proporcionalidade (regra geral da CLT) e passa a ser o Piso Integral da CCT aplicado à jornada de 200 horas.</t>
        </r>
      </text>
    </comment>
    <comment ref="I105" authorId="0" shapeId="0" xr:uid="{00000000-0006-0000-0C00-000001000000}">
      <text>
        <r>
          <rPr>
            <sz val="11"/>
            <color rgb="FF000000"/>
            <rFont val="Calibri"/>
            <scheme val="minor"/>
          </rPr>
          <t>A Instrução Normativa (IN) nº 147 do MGI garante o benefício para filhos ou dependentes com até 5 anos e 11 meses de idade (6 anos incompletos)</t>
        </r>
      </text>
    </comment>
    <comment ref="C121" authorId="0" shapeId="0" xr:uid="{00000000-0006-0000-0C00-000009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C251" authorId="0" shapeId="0" xr:uid="{00000000-0006-0000-0C00-000006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302" authorId="0" shapeId="0" xr:uid="{00000000-0006-0000-0C00-000002000000}">
      <text>
        <r>
          <rPr>
            <sz val="11"/>
            <color rgb="FF000000"/>
            <rFont val="Calibri"/>
            <scheme val="minor"/>
          </rPr>
          <t>Decreto 11.872
dispõe sobre a concessão de diárias no âmbito da administração federal direta, autárquica e fundacional.</t>
        </r>
      </text>
    </comment>
    <comment ref="C303" authorId="0" shapeId="0" xr:uid="{00000000-0006-0000-0C00-000003000000}">
      <text>
        <r>
          <rPr>
            <sz val="11"/>
            <color rgb="FF000000"/>
            <rFont val="Calibri"/>
            <scheme val="minor"/>
          </rPr>
          <t>Deslocamentos para Brasília/Manaus/Rio de Janeiro/São Paulo</t>
        </r>
      </text>
    </comment>
    <comment ref="D303" authorId="0" shapeId="0" xr:uid="{00000000-0006-0000-0C00-000004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ZERO nao haverá diarias para brasilia</t>
        </r>
      </text>
    </comment>
    <comment ref="F303" authorId="0" shapeId="0" xr:uid="{00000000-0006-0000-0C00-000005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0,1(estima-se que 10% das diarias serão para capitais)</t>
        </r>
      </text>
    </comment>
    <comment ref="H303" authorId="0" shapeId="0" xr:uid="{00000000-0006-0000-0C00-000008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0,9(estima-se que 90% das diarias serão para localidades proximas)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21" authorId="0" shapeId="0" xr:uid="{00000000-0006-0000-1000-000002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238" authorId="0" shapeId="0" xr:uid="{00000000-0006-0000-1000-000001000000}">
      <text>
        <r>
          <rPr>
            <sz val="11"/>
            <color rgb="FF000000"/>
            <rFont val="Calibri"/>
            <scheme val="minor"/>
          </rPr>
          <t>Decreto 11.117 
dispõe sobre a concessão de diárias no âmbito da administração federal direta, autárquica e fundacional.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4" authorId="0" shapeId="0" xr:uid="{00000000-0006-0000-1100-000003000000}">
      <text>
        <r>
          <rPr>
            <sz val="11"/>
            <color rgb="FF000000"/>
            <rFont val="Calibri"/>
            <scheme val="minor"/>
          </rPr>
          <t xml:space="preserve">
O valor cotado pelo licitante deve ser fixado na planilha e somente deve ser alterado mediante repactuação com comprovação do aumento. Depois da licitação, excluir a fórmula</t>
        </r>
      </text>
    </comment>
    <comment ref="C121" authorId="0" shapeId="0" xr:uid="{00000000-0006-0000-1100-000002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239" authorId="0" shapeId="0" xr:uid="{00000000-0006-0000-1100-000001000000}">
      <text>
        <r>
          <rPr>
            <sz val="11"/>
            <color rgb="FF000000"/>
            <rFont val="Calibri"/>
            <scheme val="minor"/>
          </rPr>
          <t>Decreto 11.117 
dispõe sobre a concessão de diárias no âmbito da administração federal direta, autárquica e fundacional.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9" authorId="0" shapeId="0" xr:uid="{00000000-0006-0000-0200-000002000000}">
      <text>
        <r>
          <rPr>
            <sz val="11"/>
            <color rgb="FF000000"/>
            <rFont val="Calibri"/>
            <scheme val="minor"/>
          </rPr>
          <t>ALEGRETE e URUGUAIANA</t>
        </r>
      </text>
    </comment>
    <comment ref="C10" authorId="0" shapeId="0" xr:uid="{00000000-0006-0000-0200-000001000000}">
      <text>
        <r>
          <rPr>
            <sz val="11"/>
            <color rgb="FF000000"/>
            <rFont val="Calibri"/>
            <scheme val="minor"/>
          </rPr>
          <t>SAO VICENTE, SANTA MARIA, JAGUARI, SANTIAGO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1" authorId="0" shapeId="0" xr:uid="{00000000-0006-0000-0300-000001000000}">
      <text>
        <r>
          <rPr>
            <sz val="11"/>
            <color rgb="FF000000"/>
            <rFont val="Calibri"/>
            <scheme val="minor"/>
          </rPr>
          <t>VALOR COTADO COM BASE NA LICITACAO ANTERIOR 182,45 ADICIONANDO 20% PARA CHEGAR AO  CUSTO ESTIMADO ATUAL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2" authorId="0" shapeId="0" xr:uid="{00000000-0006-0000-0600-000007000000}">
      <text>
        <r>
          <rPr>
            <sz val="11"/>
            <color rgb="FF000000"/>
            <rFont val="Calibri"/>
            <scheme val="minor"/>
          </rPr>
          <t>Sob o Decreto 12.174, a base de cálculo para o salário mensal deixa de ser a proporcionalidade (regra geral da CLT) e passa a ser o Piso Integral da CCT aplicado à jornada de 200 horas.</t>
        </r>
      </text>
    </comment>
    <comment ref="I105" authorId="0" shapeId="0" xr:uid="{00000000-0006-0000-0600-000001000000}">
      <text>
        <r>
          <rPr>
            <sz val="11"/>
            <color rgb="FF000000"/>
            <rFont val="Calibri"/>
            <scheme val="minor"/>
          </rPr>
          <t>A Instrução Normativa (IN) nº 147 do MGI garante o benefício para filhos ou dependentes com até 5 anos e 11 meses de idade (6 anos incompletos)</t>
        </r>
      </text>
    </comment>
    <comment ref="C121" authorId="0" shapeId="0" xr:uid="{00000000-0006-0000-0600-000009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C251" authorId="0" shapeId="0" xr:uid="{00000000-0006-0000-0600-000006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302" authorId="0" shapeId="0" xr:uid="{00000000-0006-0000-0600-000002000000}">
      <text>
        <r>
          <rPr>
            <sz val="11"/>
            <color rgb="FF000000"/>
            <rFont val="Calibri"/>
            <scheme val="minor"/>
          </rPr>
          <t>Decreto 11.872
dispõe sobre a concessão de diárias no âmbito da administração federal direta, autárquica e fundacional.</t>
        </r>
      </text>
    </comment>
    <comment ref="C303" authorId="0" shapeId="0" xr:uid="{00000000-0006-0000-0600-000003000000}">
      <text>
        <r>
          <rPr>
            <sz val="11"/>
            <color rgb="FF000000"/>
            <rFont val="Calibri"/>
            <scheme val="minor"/>
          </rPr>
          <t>Deslocamentos para Brasília/Manaus/Rio de Janeiro/São Paulo</t>
        </r>
      </text>
    </comment>
    <comment ref="D303" authorId="0" shapeId="0" xr:uid="{00000000-0006-0000-0600-000004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ZERO nao haverá diarias para brasilia</t>
        </r>
      </text>
    </comment>
    <comment ref="F303" authorId="0" shapeId="0" xr:uid="{00000000-0006-0000-0600-000005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0,1(estima-se que 10% das diarias serão para capitais)</t>
        </r>
      </text>
    </comment>
    <comment ref="H303" authorId="0" shapeId="0" xr:uid="{00000000-0006-0000-0600-000008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0,9(estima-se que 90% das diarias serão para localidades proximas)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2" authorId="0" shapeId="0" xr:uid="{00000000-0006-0000-0700-000007000000}">
      <text>
        <r>
          <rPr>
            <sz val="11"/>
            <color rgb="FF000000"/>
            <rFont val="Calibri"/>
            <scheme val="minor"/>
          </rPr>
          <t>Sob o Decreto 12.174, a base de cálculo para o salário mensal deixa de ser a proporcionalidade (regra geral da CLT) e passa a ser o Piso Integral da CCT aplicado à jornada de 200 horas.</t>
        </r>
      </text>
    </comment>
    <comment ref="I105" authorId="0" shapeId="0" xr:uid="{00000000-0006-0000-0700-000001000000}">
      <text>
        <r>
          <rPr>
            <sz val="11"/>
            <color rgb="FF000000"/>
            <rFont val="Calibri"/>
            <scheme val="minor"/>
          </rPr>
          <t>A Instrução Normativa (IN) nº 147 do MGI garante o benefício para filhos ou dependentes com até 5 anos e 11 meses de idade (6 anos incompletos)</t>
        </r>
      </text>
    </comment>
    <comment ref="C121" authorId="0" shapeId="0" xr:uid="{00000000-0006-0000-0700-000009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C251" authorId="0" shapeId="0" xr:uid="{00000000-0006-0000-0700-000006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302" authorId="0" shapeId="0" xr:uid="{00000000-0006-0000-0700-000002000000}">
      <text>
        <r>
          <rPr>
            <sz val="11"/>
            <color rgb="FF000000"/>
            <rFont val="Calibri"/>
            <scheme val="minor"/>
          </rPr>
          <t>Decreto 11.872
dispõe sobre a concessão de diárias no âmbito da administração federal direta, autárquica e fundacional.</t>
        </r>
      </text>
    </comment>
    <comment ref="C303" authorId="0" shapeId="0" xr:uid="{00000000-0006-0000-0700-000003000000}">
      <text>
        <r>
          <rPr>
            <sz val="11"/>
            <color rgb="FF000000"/>
            <rFont val="Calibri"/>
            <scheme val="minor"/>
          </rPr>
          <t>Deslocamentos para Brasília/Manaus/Rio de Janeiro/São Paulo</t>
        </r>
      </text>
    </comment>
    <comment ref="D303" authorId="0" shapeId="0" xr:uid="{00000000-0006-0000-0700-000004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ZERO nao haverá diarias para brasilia</t>
        </r>
      </text>
    </comment>
    <comment ref="F303" authorId="0" shapeId="0" xr:uid="{00000000-0006-0000-0700-000005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0,1(estima-se que 10% das diarias serão para capitais)</t>
        </r>
      </text>
    </comment>
    <comment ref="H303" authorId="0" shapeId="0" xr:uid="{00000000-0006-0000-0700-000008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0,9(estima-se que 90% das diarias serão para localidades proximas)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2" authorId="0" shapeId="0" xr:uid="{00000000-0006-0000-0800-000009000000}">
      <text>
        <r>
          <rPr>
            <sz val="11"/>
            <color rgb="FF000000"/>
            <rFont val="Calibri"/>
            <scheme val="minor"/>
          </rPr>
          <t>Sob o Decreto 12.174, a base de cálculo para o salário mensal deixa de ser a proporcionalidade (regra geral da CLT) e passa a ser o Piso Integral da CCT aplicado à jornada de 200 horas.</t>
        </r>
      </text>
    </comment>
    <comment ref="C60" authorId="0" shapeId="0" xr:uid="{00000000-0006-0000-0800-000006000000}">
      <text>
        <r>
          <rPr>
            <sz val="11"/>
            <color rgb="FF000000"/>
            <rFont val="Calibri"/>
            <scheme val="minor"/>
          </rPr>
          <t>é pago em caso de postos ininterruptos em que o empregado não dispõe de hora certa para almoço e precisa almoçar trabalhando no posto prestando atenção e sendo responsável por tudo o que ocorrer enquanto o mesmo tira alguns minutos para almoçar. Essa 1h (uma hora) que o empregado teria direito para se ausentar do posto para almoçar e descansar é o que chamamos de hora intrajornada que deve ser indenizada com 50% de acréscimo, que foi estipulada pela CCT adota de no minimo 30min por dia ou seja 0,5hs</t>
        </r>
      </text>
    </comment>
    <comment ref="I105" authorId="0" shapeId="0" xr:uid="{00000000-0006-0000-0800-000001000000}">
      <text>
        <r>
          <rPr>
            <sz val="11"/>
            <color rgb="FF000000"/>
            <rFont val="Calibri"/>
            <scheme val="minor"/>
          </rPr>
          <t>A Instrução Normativa (IN) nº 147 do MGI garante o benefício para filhos ou dependentes com até 5 anos e 11 meses de idade (6 anos incompletos)</t>
        </r>
      </text>
    </comment>
    <comment ref="J106" authorId="0" shapeId="0" xr:uid="{00000000-0006-0000-0800-000002000000}">
      <text>
        <r>
          <rPr>
            <sz val="11"/>
            <color rgb="FF000000"/>
            <rFont val="Calibri"/>
            <scheme val="minor"/>
          </rPr>
          <t xml:space="preserve">não somado o Aux creche
afim de nao alterar modulos 3 e 4 abaixo.
-somente será somado para modulo 6
</t>
        </r>
      </text>
    </comment>
    <comment ref="C121" authorId="0" shapeId="0" xr:uid="{00000000-0006-0000-0800-00000B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C251" authorId="0" shapeId="0" xr:uid="{00000000-0006-0000-0800-000008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302" authorId="0" shapeId="0" xr:uid="{00000000-0006-0000-0800-000003000000}">
      <text>
        <r>
          <rPr>
            <sz val="11"/>
            <color rgb="FF000000"/>
            <rFont val="Calibri"/>
            <scheme val="minor"/>
          </rPr>
          <t>Decreto 11.872
dispõe sobre a concessão de diárias no âmbito da administração federal direta, autárquica e fundacional.</t>
        </r>
      </text>
    </comment>
    <comment ref="C303" authorId="0" shapeId="0" xr:uid="{00000000-0006-0000-0800-000004000000}">
      <text>
        <r>
          <rPr>
            <sz val="11"/>
            <color rgb="FF000000"/>
            <rFont val="Calibri"/>
            <scheme val="minor"/>
          </rPr>
          <t>Deslocamentos para Brasília/Manaus/Rio de Janeiro/São Paulo</t>
        </r>
      </text>
    </comment>
    <comment ref="D303" authorId="0" shapeId="0" xr:uid="{00000000-0006-0000-0800-000005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ZERO nao haverá diarias para brasilia</t>
        </r>
      </text>
    </comment>
    <comment ref="F303" authorId="0" shapeId="0" xr:uid="{00000000-0006-0000-0800-000007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0,1(estima-se que 10% das diarias serão para capitais)</t>
        </r>
      </text>
    </comment>
    <comment ref="H303" authorId="0" shapeId="0" xr:uid="{00000000-0006-0000-0800-00000A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0,9(estima-se que 90% das diarias serão para localidades proximas)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2" authorId="0" shapeId="0" xr:uid="{00000000-0006-0000-0900-000008000000}">
      <text>
        <r>
          <rPr>
            <sz val="11"/>
            <color rgb="FF000000"/>
            <rFont val="Calibri"/>
            <scheme val="minor"/>
          </rPr>
          <t>Sob o Decreto 12.174, a base de cálculo para o salário mensal deixa de ser a proporcionalidade (regra geral da CLT) e passa a ser o Piso Integral da CCT aplicado à jornada de 200 horas.</t>
        </r>
      </text>
    </comment>
    <comment ref="C60" authorId="0" shapeId="0" xr:uid="{00000000-0006-0000-0900-000005000000}">
      <text>
        <r>
          <rPr>
            <sz val="11"/>
            <color rgb="FF000000"/>
            <rFont val="Calibri"/>
            <scheme val="minor"/>
          </rPr>
          <t>é pago em caso de postos ininterruptos em que o empregado não dispõe de hora certa para almoço e precisa almoçar trabalhando no posto prestando atenção e sendo responsável por tudo o que ocorrer enquanto o mesmo tira alguns minutos para almoçar. Essa 0,5h (meia hora) que o empregado teria direito para se ausentar do posto para almoçar e descansar é o que chamamos de hora intrajornada que deve ser indenizada com 50% de acréscimo, que foi estipulada pela CCT adota de no minimo 30min por dia ou seja 0,5hs</t>
        </r>
      </text>
    </comment>
    <comment ref="I105" authorId="0" shapeId="0" xr:uid="{00000000-0006-0000-0900-000001000000}">
      <text>
        <r>
          <rPr>
            <sz val="11"/>
            <color rgb="FF000000"/>
            <rFont val="Calibri"/>
            <scheme val="minor"/>
          </rPr>
          <t>A Instrução Normativa (IN) nº 147 do MGI garante o benefício para filhos ou dependentes com até 5 anos e 11 meses de idade (6 anos incompletos)</t>
        </r>
      </text>
    </comment>
    <comment ref="C121" authorId="0" shapeId="0" xr:uid="{00000000-0006-0000-0900-00000A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C251" authorId="0" shapeId="0" xr:uid="{00000000-0006-0000-0900-000007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302" authorId="0" shapeId="0" xr:uid="{00000000-0006-0000-0900-000002000000}">
      <text>
        <r>
          <rPr>
            <sz val="11"/>
            <color rgb="FF000000"/>
            <rFont val="Calibri"/>
            <scheme val="minor"/>
          </rPr>
          <t>Decreto 11.872
dispõe sobre a concessão de diárias no âmbito da administração federal direta, autárquica e fundacional.</t>
        </r>
      </text>
    </comment>
    <comment ref="C303" authorId="0" shapeId="0" xr:uid="{00000000-0006-0000-0900-000003000000}">
      <text>
        <r>
          <rPr>
            <sz val="11"/>
            <color rgb="FF000000"/>
            <rFont val="Calibri"/>
            <scheme val="minor"/>
          </rPr>
          <t>Deslocamentos para Brasília/Manaus/Rio de Janeiro/São Paulo</t>
        </r>
      </text>
    </comment>
    <comment ref="D303" authorId="0" shapeId="0" xr:uid="{00000000-0006-0000-0900-000004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ZERO nao haverá diarias para brasilia</t>
        </r>
      </text>
    </comment>
    <comment ref="F303" authorId="0" shapeId="0" xr:uid="{00000000-0006-0000-0900-000006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0,1(estima-se que 10% das diarias serão para capitais)</t>
        </r>
      </text>
    </comment>
    <comment ref="H303" authorId="0" shapeId="0" xr:uid="{00000000-0006-0000-0900-000009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0,9(estima-se que 90% das diarias serão para localidades proximas)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0" authorId="0" shapeId="0" xr:uid="{00000000-0006-0000-0A00-000005000000}">
      <text>
        <r>
          <rPr>
            <sz val="11"/>
            <color rgb="FF000000"/>
            <rFont val="Calibri"/>
            <scheme val="minor"/>
          </rPr>
          <t>é pago em caso de postos ininterruptos em que o empregado não dispõe de hora certa para almoço e precisa almoçar trabalhando no posto prestando atenção e sendo responsável por tudo o que ocorrer enquanto o mesmo tira alguns minutos para almoçar. Essa 1h (uma hora) que o empregado teria direito para se ausentar do posto para almoçar e descansar é o que chamamos de hora intrajornada que deve ser indenizada com 50% de acréscimo, que foi estipulada pela CCT adota de no minimo 30min por dia ou seja 0,5hs</t>
        </r>
      </text>
    </comment>
    <comment ref="I105" authorId="0" shapeId="0" xr:uid="{00000000-0006-0000-0A00-000001000000}">
      <text>
        <r>
          <rPr>
            <sz val="11"/>
            <color rgb="FF000000"/>
            <rFont val="Calibri"/>
            <scheme val="minor"/>
          </rPr>
          <t>A Instrução Normativa (IN) nº 147 do MGI garante o benefício para filhos ou dependentes com até 5 anos e 11 meses de idade (6 anos incompletos)</t>
        </r>
      </text>
    </comment>
    <comment ref="C121" authorId="0" shapeId="0" xr:uid="{00000000-0006-0000-0A00-000009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C251" authorId="0" shapeId="0" xr:uid="{00000000-0006-0000-0A00-000007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302" authorId="0" shapeId="0" xr:uid="{00000000-0006-0000-0A00-000002000000}">
      <text>
        <r>
          <rPr>
            <sz val="11"/>
            <color rgb="FF000000"/>
            <rFont val="Calibri"/>
            <scheme val="minor"/>
          </rPr>
          <t>Decreto 11.872
dispõe sobre a concessão de diárias no âmbito da administração federal direta, autárquica e fundacional.</t>
        </r>
      </text>
    </comment>
    <comment ref="C303" authorId="0" shapeId="0" xr:uid="{00000000-0006-0000-0A00-000003000000}">
      <text>
        <r>
          <rPr>
            <sz val="11"/>
            <color rgb="FF000000"/>
            <rFont val="Calibri"/>
            <scheme val="minor"/>
          </rPr>
          <t>Deslocamentos para Brasília/Manaus/Rio de Janeiro/São Paulo</t>
        </r>
      </text>
    </comment>
    <comment ref="D303" authorId="0" shapeId="0" xr:uid="{00000000-0006-0000-0A00-000004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ZERO nao haverá diarias para brasilia</t>
        </r>
      </text>
    </comment>
    <comment ref="F303" authorId="0" shapeId="0" xr:uid="{00000000-0006-0000-0A00-000006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0,1(estima-se que 10% das diarias serão para capitais)</t>
        </r>
      </text>
    </comment>
    <comment ref="H303" authorId="0" shapeId="0" xr:uid="{00000000-0006-0000-0A00-000008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0,9(estima-se que 90% das diarias serão para localidades proximas)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0" authorId="0" shapeId="0" xr:uid="{00000000-0006-0000-0B00-000005000000}">
      <text>
        <r>
          <rPr>
            <sz val="11"/>
            <color rgb="FF000000"/>
            <rFont val="Calibri"/>
            <scheme val="minor"/>
          </rPr>
          <t>é pago em caso de postos ininterruptos em que o empregado não dispõe de hora certa para almoço e precisa almoçar trabalhando no posto prestando atenção e sendo responsável por tudo o que ocorrer enquanto o mesmo tira alguns minutos para almoçar. Essa 1h (uma hora) que o empregado teria direito para se ausentar do posto para almoçar e descansar é o que chamamos de hora intrajornada que deve ser indenizada com 50% de acréscimo, que foi estipulada pela CCT adota de no minimo 30min por dia ou seja 0,5hs</t>
        </r>
      </text>
    </comment>
    <comment ref="I105" authorId="0" shapeId="0" xr:uid="{00000000-0006-0000-0B00-000001000000}">
      <text>
        <r>
          <rPr>
            <sz val="11"/>
            <color rgb="FF000000"/>
            <rFont val="Calibri"/>
            <scheme val="minor"/>
          </rPr>
          <t>A Instrução Normativa (IN) nº 147 do MGI garante o benefício para filhos ou dependentes com até 5 anos e 11 meses de idade (6 anos incompletos)</t>
        </r>
      </text>
    </comment>
    <comment ref="C121" authorId="0" shapeId="0" xr:uid="{00000000-0006-0000-0B00-000009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C251" authorId="0" shapeId="0" xr:uid="{00000000-0006-0000-0B00-000007000000}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302" authorId="0" shapeId="0" xr:uid="{00000000-0006-0000-0B00-000002000000}">
      <text>
        <r>
          <rPr>
            <sz val="11"/>
            <color rgb="FF000000"/>
            <rFont val="Calibri"/>
            <scheme val="minor"/>
          </rPr>
          <t>Decreto 11.872
dispõe sobre a concessão de diárias no âmbito da administração federal direta, autárquica e fundacional.</t>
        </r>
      </text>
    </comment>
    <comment ref="C303" authorId="0" shapeId="0" xr:uid="{00000000-0006-0000-0B00-000003000000}">
      <text>
        <r>
          <rPr>
            <sz val="11"/>
            <color rgb="FF000000"/>
            <rFont val="Calibri"/>
            <scheme val="minor"/>
          </rPr>
          <t>Deslocamentos para Brasília/Manaus/Rio de Janeiro/São Paulo</t>
        </r>
      </text>
    </comment>
    <comment ref="D303" authorId="0" shapeId="0" xr:uid="{00000000-0006-0000-0B00-000004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ZERO nao haverá diarias para brasilia</t>
        </r>
      </text>
    </comment>
    <comment ref="F303" authorId="0" shapeId="0" xr:uid="{00000000-0006-0000-0B00-000006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0,1(estima-se que 10% das diarias serão para capitais)</t>
        </r>
      </text>
    </comment>
    <comment ref="H303" authorId="0" shapeId="0" xr:uid="{00000000-0006-0000-0B00-000008000000}">
      <text>
        <r>
          <rPr>
            <sz val="11"/>
            <color rgb="FF000000"/>
            <rFont val="Calibri"/>
            <scheme val="minor"/>
          </rPr>
          <t>quantitativo da administracao UM ANO PARA O SERVIÇO - Abrange todos postos (1/12*30= 2,5) Vigencia contrato 30 meses...DIVIDE PELO NUMERO DE POSTOS * multiplicamos por  0,9(estima-se que 90% das diarias serão para localidades proximas)</t>
        </r>
      </text>
    </comment>
  </commentList>
</comments>
</file>

<file path=xl/sharedStrings.xml><?xml version="1.0" encoding="utf-8"?>
<sst xmlns="http://schemas.openxmlformats.org/spreadsheetml/2006/main" count="8066" uniqueCount="1515">
  <si>
    <r>
      <rPr>
        <sz val="35"/>
        <color theme="1"/>
        <rFont val="Calibri"/>
      </rPr>
      <t xml:space="preserve">ABA INICIAL da LICITANTE 
</t>
    </r>
    <r>
      <rPr>
        <sz val="15"/>
        <color rgb="FF980000"/>
        <rFont val="Calibri"/>
      </rPr>
      <t>'1-ABA-DE-CARREGAMENTO'</t>
    </r>
  </si>
  <si>
    <r>
      <rPr>
        <sz val="35"/>
        <color theme="1"/>
        <rFont val="Calibri"/>
      </rPr>
      <t xml:space="preserve">PROPOSTA da LICITANTE 
</t>
    </r>
    <r>
      <rPr>
        <sz val="15"/>
        <color rgb="FF980000"/>
        <rFont val="Calibri"/>
      </rPr>
      <t>'PROPOSTA'</t>
    </r>
  </si>
  <si>
    <t>Uniformes - EPIs_TODOS</t>
  </si>
  <si>
    <t>5162_20_CUIDADOR-de-ALUNOS_40h</t>
  </si>
  <si>
    <t>5162_20_CUIDADOR-de-ALUNOS_20h</t>
  </si>
  <si>
    <t>3341-05_INSTRUTOR-de-ALUNOS_40hs</t>
  </si>
  <si>
    <t>3341-05_INSTRUTOR-de-ALUNOS_20hs</t>
  </si>
  <si>
    <t>2394-25_PSICOPEGAGOGO_40h</t>
  </si>
  <si>
    <t>2394-25_PSICOPEGAGOGO_20h</t>
  </si>
  <si>
    <t>3341-10_MONITOR-de-ALUNOS_40h</t>
  </si>
  <si>
    <r>
      <rPr>
        <b/>
        <sz val="32"/>
        <color rgb="FF6AA84F"/>
        <rFont val="Calibri"/>
      </rPr>
      <t xml:space="preserve">Informações Especificas
do IFFar
</t>
    </r>
    <r>
      <rPr>
        <sz val="15"/>
        <color rgb="FF6AA84F"/>
        <rFont val="Calibri"/>
      </rPr>
      <t>dados das CCT's</t>
    </r>
    <r>
      <rPr>
        <b/>
        <sz val="32"/>
        <color rgb="FF6AA84F"/>
        <rFont val="Calibri"/>
      </rPr>
      <t xml:space="preserve">
'DADOS CADASTRAIS'</t>
    </r>
  </si>
  <si>
    <r>
      <rPr>
        <b/>
        <sz val="32"/>
        <color rgb="FF6AA84F"/>
        <rFont val="Calibri"/>
      </rPr>
      <t xml:space="preserve">Informações Especificas
do IFFar
</t>
    </r>
    <r>
      <rPr>
        <b/>
        <sz val="12"/>
        <color rgb="FF6AA84F"/>
        <rFont val="Calibri"/>
      </rPr>
      <t>Campi, VT, ISS, Salario, Adicionais, Jornada</t>
    </r>
    <r>
      <rPr>
        <b/>
        <sz val="32"/>
        <color rgb="FF6AA84F"/>
        <rFont val="Calibri"/>
      </rPr>
      <t xml:space="preserve">
'CAMPUS.CONTRATANTE'</t>
    </r>
  </si>
  <si>
    <t>ABAIXO POSSIBILIDADE FILTRAR COLUNAS</t>
  </si>
  <si>
    <t>CAMPUS.CONTRATANTE</t>
  </si>
  <si>
    <t>quantidades</t>
  </si>
  <si>
    <t>&lt;--CLIQUE AQUI</t>
  </si>
  <si>
    <t>@</t>
  </si>
  <si>
    <t>UNIDADES CONTRATANTES</t>
  </si>
  <si>
    <t xml:space="preserve"> MUNICIPIO Vlr</t>
  </si>
  <si>
    <t xml:space="preserve">S E R V I Ç O S     =    CUIDADOR - INSTRUTOR - PSICOPEDAGOGO - MONITOR </t>
  </si>
  <si>
    <t>UG</t>
  </si>
  <si>
    <t>CNPJ</t>
  </si>
  <si>
    <t>NOME</t>
  </si>
  <si>
    <t>R$ 
Vlr Passagem
 Urbana - VT</t>
  </si>
  <si>
    <t>Indice
 ISS</t>
  </si>
  <si>
    <t>NAO TEM MAIS POSTO 55</t>
  </si>
  <si>
    <t>NAO TEM MAIS POSTO 66</t>
  </si>
  <si>
    <t>A NÃO TEM MAIS POSTOS-77</t>
  </si>
  <si>
    <t>A NÃO TEM MAIS POSTOS-88</t>
  </si>
  <si>
    <t>A NÃO TEM MAIS POSTOS-99</t>
  </si>
  <si>
    <t>QUANTIDADE</t>
  </si>
  <si>
    <t>Participa da 
escala de PLANTOES</t>
  </si>
  <si>
    <t>CONVENCAO
 COLETIVA
 DE TRABALHO</t>
  </si>
  <si>
    <t>SALARIO
NORMATIVO</t>
  </si>
  <si>
    <t>% BASE ADICIONAL FUNÇÃO</t>
  </si>
  <si>
    <t>QUANTIDADE
DE PLANTOES
pelos 52
SABADOS
no ano
para hs a 50%</t>
  </si>
  <si>
    <t>QUANTIDADE
DE PLANTOES
pelos 52
DOMINGOS 
+ 12 FERIADOS
no ano
para hs a 100%</t>
  </si>
  <si>
    <t>DIAS
VALE
TRANSP.</t>
  </si>
  <si>
    <t>DIAS
DE
VALE
ALIMENT</t>
  </si>
  <si>
    <t>ADICIONAL 
NOTURNO</t>
  </si>
  <si>
    <t>QUANTOIDA DE PLANTONISTAS POR DIA 50%</t>
  </si>
  <si>
    <t>REPOSICAO 
PARA
FERIAS
(Calcular
valor
para
contratar
substituo</t>
  </si>
  <si>
    <t xml:space="preserve">JORNADA </t>
  </si>
  <si>
    <t>QUANTIDADE
DE PLANTOES
pelos 54
SABADOS
no ano
para hs a 50%</t>
  </si>
  <si>
    <t>QUANTIDADE
DE PLANTOES
pelos 54
DOMINGOS 
+ 12 FERIADOS
no ano
para hs a 100%</t>
  </si>
  <si>
    <t>outros</t>
  </si>
  <si>
    <t>QUANTIDADE
DE PANTOES
pelos 54
SABADOS
no ano
para hs a 50%</t>
  </si>
  <si>
    <t>S</t>
  </si>
  <si>
    <t>MINIMO NACIONAL</t>
  </si>
  <si>
    <t>SALARIO NORMATIVO</t>
  </si>
  <si>
    <t>%</t>
  </si>
  <si>
    <t>INSALUBR.</t>
  </si>
  <si>
    <t>JORNADA</t>
  </si>
  <si>
    <t>N</t>
  </si>
  <si>
    <t>FUNCAO.PERC.ADIC</t>
  </si>
  <si>
    <t>ADIC.FUNC.PERCE.</t>
  </si>
  <si>
    <t xml:space="preserve">SEMANAL </t>
  </si>
  <si>
    <t>10-662-072-0004-09</t>
  </si>
  <si>
    <t>ALEGRETE__AL</t>
  </si>
  <si>
    <t>RS000041/2026</t>
  </si>
  <si>
    <t>SEM ADICIONAL DE FUNÇÃO</t>
  </si>
  <si>
    <t>INSALUB S/NORMATIVO</t>
  </si>
  <si>
    <t>RS001208/2026</t>
  </si>
  <si>
    <t>SEM ADICIONAL DE RISCO</t>
  </si>
  <si>
    <t>RS004627/2024</t>
  </si>
  <si>
    <t>INSALUB S/MINIMO</t>
  </si>
  <si>
    <t>RS000947/2019-</t>
  </si>
  <si>
    <t>CAÇAPAVA-DO-SUL__CS</t>
  </si>
  <si>
    <t>22-968-289-0001-70</t>
  </si>
  <si>
    <t>FREDERICO-WESTFALEN__FW</t>
  </si>
  <si>
    <t>RS000082/2026</t>
  </si>
  <si>
    <t>10-662-072-0009-05</t>
  </si>
  <si>
    <t>JAGUARI__JAG</t>
  </si>
  <si>
    <t>10-662-072-0002-39</t>
  </si>
  <si>
    <t xml:space="preserve">JULIO-DE-CASTILHOS__JC </t>
  </si>
  <si>
    <t>10-662-072-0007-43</t>
  </si>
  <si>
    <t>PANAMBI__PB</t>
  </si>
  <si>
    <t>10-662-072-0001-58</t>
  </si>
  <si>
    <t>SANTA-MARIA__SM-RT</t>
  </si>
  <si>
    <t>RS000250/2026</t>
  </si>
  <si>
    <t>10-662-072-0008-24</t>
  </si>
  <si>
    <t>SANTA-ROSA__SR</t>
  </si>
  <si>
    <t>SANTIAGO__STG</t>
  </si>
  <si>
    <t>10-662-072-0010-49</t>
  </si>
  <si>
    <t>SANTO-ANGELO__SAN</t>
  </si>
  <si>
    <t>10-662-072-0005-81</t>
  </si>
  <si>
    <t>SANTO-AUGUSTO_SA</t>
  </si>
  <si>
    <t>10-662-072-0006-62</t>
  </si>
  <si>
    <t>SAO-BORJA__SB</t>
  </si>
  <si>
    <t>SAO-LUIZ-GONZAGA__SLG</t>
  </si>
  <si>
    <t>10-662-072-0003-10</t>
  </si>
  <si>
    <t>SAO-VICENTE-DO-SUL__SVS</t>
  </si>
  <si>
    <t>URUGUAIANA__URUG</t>
  </si>
  <si>
    <t>ADIC. FUNÇÃO S/MINIMO NACION</t>
  </si>
  <si>
    <t>INSALUB S/MIN. NACION.</t>
  </si>
  <si>
    <t>n feriados</t>
  </si>
  <si>
    <t>noite</t>
  </si>
  <si>
    <t>CBO_FUNCAO ( 31 carcteres aba) A CONTRATAR</t>
  </si>
  <si>
    <t>indice da aba</t>
  </si>
  <si>
    <t xml:space="preserve">nome da aba </t>
  </si>
  <si>
    <t>ADIC. FUNÇÃO S/NORMATIVO</t>
  </si>
  <si>
    <t>dividido por 12</t>
  </si>
  <si>
    <t>PERICULOSIDADE</t>
  </si>
  <si>
    <t>dividido por n funcio</t>
  </si>
  <si>
    <t>DADOS-CADASTRAIS</t>
  </si>
  <si>
    <t>ADIC. FUNÇÃO S/piso  REGIONAL</t>
  </si>
  <si>
    <t>frederico 100% so feriado</t>
  </si>
  <si>
    <t>no caso somente sao vitente tem UM peao que nao faz plantoes</t>
  </si>
  <si>
    <t>1-ABA-DE-CARREGAMENTO</t>
  </si>
  <si>
    <t xml:space="preserve">TABELA BASE </t>
  </si>
  <si>
    <t>frederico so 12 ferias 100%</t>
  </si>
  <si>
    <t>PROPOSTA DO SERVIÇO</t>
  </si>
  <si>
    <t>I37:AA51'</t>
  </si>
  <si>
    <t>INDICE2</t>
  </si>
  <si>
    <t xml:space="preserve">QUANTITATIVOS </t>
  </si>
  <si>
    <t>CAMPI</t>
  </si>
  <si>
    <t>CUIDADOR 40</t>
  </si>
  <si>
    <t>CUIDADOR 20</t>
  </si>
  <si>
    <t>INSTRUTOR 40</t>
  </si>
  <si>
    <t>INSTRUTOR 20</t>
  </si>
  <si>
    <t>PSICO 40</t>
  </si>
  <si>
    <t>PSICO 20</t>
  </si>
  <si>
    <t>MONITOR 40</t>
  </si>
  <si>
    <t>HS</t>
  </si>
  <si>
    <t xml:space="preserve">DIARIAS </t>
  </si>
  <si>
    <t xml:space="preserve">NOTURNAS </t>
  </si>
  <si>
    <t xml:space="preserve">EXTRAS </t>
  </si>
  <si>
    <t>TODAS LOCALIDADES</t>
  </si>
  <si>
    <t>OK</t>
  </si>
  <si>
    <t>Insumos_Base</t>
  </si>
  <si>
    <t>TOTALIZADORES_IFFar</t>
  </si>
  <si>
    <t>A NAO TEM MAIS POSTO 66</t>
  </si>
  <si>
    <t>A NAO TEM MAIS POSTO 771</t>
  </si>
  <si>
    <t>A NAO TEM MAIS POSTO 77</t>
  </si>
  <si>
    <t>INDICE-3</t>
  </si>
  <si>
    <t>i57-s62</t>
  </si>
  <si>
    <t>Horas extras A 50% (normais)</t>
  </si>
  <si>
    <t>Horas extras A 100%
(domingos e feriados)</t>
  </si>
  <si>
    <t xml:space="preserve">Adicional Noturno  sobre: 
Quantidade de horas Noturnas NORMAIS (noturnas) </t>
  </si>
  <si>
    <t>Horas A 20% - ADICIONAL NOTURNO</t>
  </si>
  <si>
    <t>Horas A 100% - ADICIONAL NOTURNO
(domingos e feriados)</t>
  </si>
  <si>
    <t>INDICE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</si>
  <si>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</si>
  <si>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</si>
  <si>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</si>
  <si>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</si>
  <si>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</si>
  <si>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</si>
  <si>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</si>
  <si>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</si>
  <si>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</si>
  <si>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</si>
  <si>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</si>
  <si>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PREMIO
ASSIDUIDADE</t>
  </si>
  <si>
    <t>AUX 
EDUCACAO</t>
  </si>
  <si>
    <t>GRATIF
ANIVERSARIO</t>
  </si>
  <si>
    <t>HOSPED</t>
  </si>
  <si>
    <t>cafe</t>
  </si>
  <si>
    <t>almoço</t>
  </si>
  <si>
    <t>janta</t>
  </si>
  <si>
    <t xml:space="preserve">cota parte
participacao
cesta basica </t>
  </si>
  <si>
    <t>vlr cesta basica
ASSIDUIDA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</si>
  <si>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</si>
  <si>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</si>
  <si>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Selecione CBO Funcao</t>
  </si>
  <si>
    <t>RS000041/2025</t>
  </si>
  <si>
    <r>
      <rPr>
        <sz val="13"/>
        <color rgb="FFB7B7B7"/>
        <rFont val="Arial Narrow"/>
      </rPr>
      <t xml:space="preserve">SIND DAS EMPR DE </t>
    </r>
    <r>
      <rPr>
        <b/>
        <sz val="13"/>
        <color rgb="FFB7B7B7"/>
        <rFont val="Arial Narrow"/>
      </rPr>
      <t>ASSEIO.</t>
    </r>
    <r>
      <rPr>
        <sz val="13"/>
        <color rgb="FFB7B7B7"/>
        <rFont val="Arial Narrow"/>
      </rPr>
      <t xml:space="preserve"> E CONSERV DO EST DO R G S, CNPJ 87.078.325/0001-75 e 
SIND TRAB EM SERV TERCEIR, EMP DE ASSEIO E CONS LIMP URBANA
AMBIENTAL E AREAS VERDES DE</t>
    </r>
    <r>
      <rPr>
        <sz val="13"/>
        <color rgb="FFB7B7B7"/>
        <rFont val="Arial Narrow"/>
      </rPr>
      <t xml:space="preserve"> </t>
    </r>
    <r>
      <rPr>
        <b/>
        <sz val="13"/>
        <color rgb="FFB7B7B7"/>
        <rFont val="Arial Narrow"/>
      </rPr>
      <t>S MARIA</t>
    </r>
    <r>
      <rPr>
        <b/>
        <sz val="13"/>
        <color rgb="FFB7B7B7"/>
        <rFont val="Arial Narrow"/>
      </rPr>
      <t>,</t>
    </r>
    <r>
      <rPr>
        <sz val="13"/>
        <color rgb="FFB7B7B7"/>
        <rFont val="Arial Narrow"/>
      </rPr>
      <t xml:space="preserve"> CNPJ n. 02.521.257/0001-14</t>
    </r>
  </si>
  <si>
    <t>01 de JANEIRO</t>
  </si>
  <si>
    <t>RS000040/2025</t>
  </si>
  <si>
    <r>
      <rPr>
        <sz val="13"/>
        <color rgb="FFB7B7B7"/>
        <rFont val="Arial Narrow"/>
      </rPr>
      <t xml:space="preserve">SIND EMPR </t>
    </r>
    <r>
      <rPr>
        <b/>
        <sz val="13"/>
        <color rgb="FFB7B7B7"/>
        <rFont val="Arial Narrow"/>
      </rPr>
      <t xml:space="preserve">ASSEIO </t>
    </r>
    <r>
      <rPr>
        <sz val="13"/>
        <color rgb="FFB7B7B7"/>
        <rFont val="Arial Narrow"/>
      </rPr>
      <t>E CONSERVA</t>
    </r>
    <r>
      <rPr>
        <b/>
        <sz val="13"/>
        <color rgb="FFB7B7B7"/>
        <rFont val="Arial Narrow"/>
      </rPr>
      <t xml:space="preserve"> R G S,</t>
    </r>
    <r>
      <rPr>
        <sz val="13"/>
        <color rgb="FFB7B7B7"/>
        <rFont val="Arial Narrow"/>
      </rPr>
      <t xml:space="preserve"> CNPJ 87.078.325/0001-75, -
SIND INTERM  EMPREG EM EMPRES DE ASSEIO E CONSERV
SERV TERCEIRIZ EM ASSEIO E CONSERV SEEAC/RS, CNPJ n.
90.601.956/0001-31</t>
    </r>
  </si>
  <si>
    <t>SIND DAS EMPRES TRANSP PASSAG FRETAM EST RS , 95.122.545/0001-87, e 
SIND TRAB TRANSP ROD INTERM INTEREST TUR FRET DO RGS, 94.067.758/0001-90</t>
  </si>
  <si>
    <t>01 de JUNHO</t>
  </si>
  <si>
    <t>s</t>
  </si>
  <si>
    <t>RS000145/2025</t>
  </si>
  <si>
    <r>
      <rPr>
        <sz val="13"/>
        <color rgb="FFB7B7B7"/>
        <rFont val="Arial Narrow"/>
      </rPr>
      <t xml:space="preserve">SIND DOS TRABAL E CONDUT DE VEIC RODOV DE </t>
    </r>
    <r>
      <rPr>
        <b/>
        <sz val="13"/>
        <color rgb="FFB7B7B7"/>
        <rFont val="Arial Narrow"/>
      </rPr>
      <t>SANTA MARIA</t>
    </r>
    <r>
      <rPr>
        <sz val="13"/>
        <color rgb="FFB7B7B7"/>
        <rFont val="Arial Narrow"/>
      </rPr>
      <t xml:space="preserve">-RS </t>
    </r>
    <r>
      <rPr>
        <b/>
        <sz val="13"/>
        <color rgb="FFB7B7B7"/>
        <rFont val="Arial Narrow"/>
      </rPr>
      <t>E REGIAO -</t>
    </r>
    <r>
      <rPr>
        <sz val="13"/>
        <color rgb="FFB7B7B7"/>
        <rFont val="Arial Narrow"/>
      </rPr>
      <t xml:space="preserve"> 88.667.803/0001-45, e SIND DAS EMP TRANSP PASSAG FRETAM EST RS - 95.122.545/0001-87,</t>
    </r>
  </si>
  <si>
    <t>RS002404/2025</t>
  </si>
  <si>
    <r>
      <rPr>
        <sz val="13"/>
        <color rgb="FFB7B7B7"/>
        <rFont val="Arial Narrow"/>
      </rPr>
      <t xml:space="preserve">SIND DOS TRABAL E CONDUT DE VEIC RODOV DE </t>
    </r>
    <r>
      <rPr>
        <b/>
        <sz val="13"/>
        <color rgb="FFB7B7B7"/>
        <rFont val="Arial Narrow"/>
      </rPr>
      <t>SANTA MARIA</t>
    </r>
    <r>
      <rPr>
        <sz val="13"/>
        <color rgb="FFB7B7B7"/>
        <rFont val="Arial Narrow"/>
      </rPr>
      <t xml:space="preserve">-RS </t>
    </r>
    <r>
      <rPr>
        <b/>
        <sz val="13"/>
        <color rgb="FFB7B7B7"/>
        <rFont val="Arial Narrow"/>
      </rPr>
      <t>E REGIAO -</t>
    </r>
    <r>
      <rPr>
        <sz val="13"/>
        <color rgb="FFB7B7B7"/>
        <rFont val="Arial Narrow"/>
      </rPr>
      <t xml:space="preserve"> 88.667.803/0001-45, e SIND DAS EMP TRANSP PASSAG FRETAM EST RS - 95.122.545/0001-87,</t>
    </r>
  </si>
  <si>
    <t>RS001459/2025</t>
  </si>
  <si>
    <r>
      <rPr>
        <b/>
        <sz val="13"/>
        <color rgb="FFB7B7B7"/>
        <rFont val="Arial Narrow"/>
      </rPr>
      <t xml:space="preserve">FESENALBA x  SECRASO </t>
    </r>
    <r>
      <rPr>
        <sz val="13"/>
        <color rgb="FFB7B7B7"/>
        <rFont val="Arial Narrow"/>
      </rPr>
      <t>FED. DOS EMPREG.EM ENT.CULT.RECR.DE ASSIST.SOC. DE ORIENT. E FORM. PROF.DO
EST. DO RGS, CNPJ  05.208.719/0001-36  X SIND ENTID CULT RECR ASSOC ORIENT E FORM PROF EST RS, CNPJ n. 93.013.670/0001-23,</t>
    </r>
  </si>
  <si>
    <t xml:space="preserve">01 de ABRIL </t>
  </si>
  <si>
    <r>
      <rPr>
        <sz val="13"/>
        <color rgb="FF00B050"/>
        <rFont val="Arial Narrow"/>
      </rPr>
      <t xml:space="preserve">SIND EMPR </t>
    </r>
    <r>
      <rPr>
        <b/>
        <sz val="13"/>
        <color rgb="FF00B050"/>
        <rFont val="Arial Narrow"/>
      </rPr>
      <t xml:space="preserve">ASSEIO </t>
    </r>
    <r>
      <rPr>
        <sz val="13"/>
        <color rgb="FF00B050"/>
        <rFont val="Arial Narrow"/>
      </rPr>
      <t>E CONSERVA</t>
    </r>
    <r>
      <rPr>
        <b/>
        <sz val="13"/>
        <color rgb="FF00B050"/>
        <rFont val="Arial Narrow"/>
      </rPr>
      <t xml:space="preserve"> R G S,</t>
    </r>
    <r>
      <rPr>
        <sz val="13"/>
        <color rgb="FF00B050"/>
        <rFont val="Arial Narrow"/>
      </rPr>
      <t xml:space="preserve"> CNPJ 87.078.325/0001-75, -
SIND INTERM  EMPREG EM EMPRES DE ASSEIO E CONSERV
SERV TERCEIRIZ EM ASSEIO E CONSERV SEEAC/RS, CNPJ n.
90.601.956/0001-31</t>
    </r>
  </si>
  <si>
    <r>
      <rPr>
        <b/>
        <sz val="13"/>
        <color rgb="FF980000"/>
        <rFont val="Arial Narrow"/>
      </rPr>
      <t xml:space="preserve">FESENALBA x  SECRASO </t>
    </r>
    <r>
      <rPr>
        <sz val="13"/>
        <color rgb="FF980000"/>
        <rFont val="Arial Narrow"/>
      </rPr>
      <t>FED. DOS EMPREG.EM ENT.CULT.RECR.DE ASSIST.SOC. DE ORIENT. E FORM. PROF.DO
EST. DO RGS, CNPJ  05.208.719/0001-36  X SIND ENTID CULT RECR ASSOC ORIENT E FORM PROF EST RS, CNPJ n. 93.013.670/0001-23,</t>
    </r>
  </si>
  <si>
    <r>
      <rPr>
        <sz val="13"/>
        <color rgb="FF000000"/>
        <rFont val="Arial Narrow"/>
      </rPr>
      <t xml:space="preserve">SINDICATO DOS TRAB EM SERVICOS TERCEIRIZADOS, EMP DE ASSEIO E CONS LIMP URBANA
AMBIENTAL E AREAS VERDES DE S MARIA, CNPJ n. 02.521.257/0001-14
E
</t>
    </r>
    <r>
      <rPr>
        <b/>
        <sz val="13"/>
        <color rgb="FF000000"/>
        <rFont val="Arial Narrow"/>
      </rPr>
      <t xml:space="preserve">SIND DAS EMPR DE ASSEIO </t>
    </r>
    <r>
      <rPr>
        <sz val="13"/>
        <color rgb="FF000000"/>
        <rFont val="Arial Narrow"/>
      </rPr>
      <t xml:space="preserve">E CONSERVACAO DO EST DO R G S, CNPJ n. 87.078.325/0001-75, neste
ato representado(a) por seu Presidente, Sr(a). ADRIANA MAIA MELLO;
</t>
    </r>
  </si>
  <si>
    <t>SIND DAS EMPR DE ASSEIO E CONSERVACAO DO EST DO R G S, CNPJ n. 87.078.325/0001-75, neste
ato representado(a) por seu Presidente, Sr(a). ADRIANA MAIA MELLO;
E
SINDICATO DOS TRABALHADORES EM EMP. DE ASSEIO, CONSERV, ZELADORIA, RECICL DE LIXO,
LIMPEZA URB, AMBIENTAL E DE AREAS VERDES E EMP. DE SER TERCEIRIZ., CNPJ n.
10.141.903/0001-46, neste ato representado(a) por seu Presidente, Sr(a). TIAGO BITELLO;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</si>
  <si>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</si>
  <si>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</si>
  <si>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</si>
  <si>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</si>
  <si>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</si>
  <si>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</si>
  <si>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Licitação:</t>
  </si>
  <si>
    <t>Campus/Município/UF da prestação do serviço:</t>
  </si>
  <si>
    <t>« ←▬     SELECIONE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</si>
  <si>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</si>
  <si>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</si>
  <si>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</si>
  <si>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</si>
  <si>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</si>
  <si>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</si>
  <si>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</si>
  <si>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</si>
  <si>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</si>
  <si>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</si>
  <si>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</si>
  <si>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</si>
  <si>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</si>
  <si>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</si>
  <si>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</si>
  <si>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</si>
  <si>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</si>
  <si>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</si>
  <si>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</si>
  <si>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4"/>
        <color theme="1"/>
        <rFont val="Arial"/>
      </rPr>
      <t>Salário base Nomartivo /categoria</t>
    </r>
    <r>
      <rPr>
        <b/>
        <sz val="14"/>
        <color rgb="FFC00000"/>
        <rFont val="Arial"/>
      </rPr>
      <t xml:space="preserve"> (220h)</t>
    </r>
  </si>
  <si>
    <t>Base para o Adicional De Função</t>
  </si>
  <si>
    <t>%  Adicional de Função</t>
  </si>
  <si>
    <t>Base para o Adicional de =&gt;</t>
  </si>
  <si>
    <t>% AD. INSALUBRIDADE</t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</si>
  <si>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2025</t>
    </r>
  </si>
  <si>
    <t xml:space="preserve">% Adicional Noturno </t>
  </si>
  <si>
    <t>% Adicional de Periculosidade</t>
  </si>
  <si>
    <t xml:space="preserve">Módulo 1:               J O R N A D A  </t>
  </si>
  <si>
    <t>Jornada DIÁRIA contratada "em horas" (h)</t>
  </si>
  <si>
    <t>Jornada SEMANAL contratada (h)</t>
  </si>
  <si>
    <t>Jornada MENSAL contratada (h)</t>
  </si>
  <si>
    <t xml:space="preserve">     E N C A R G O S   E   B E N E F Í C I O S  </t>
  </si>
  <si>
    <t>RAT</t>
  </si>
  <si>
    <t>FAP</t>
  </si>
  <si>
    <t>Valor - VALE alimentação(VA)/Refeicao POR DIA</t>
  </si>
  <si>
    <t>Percentual desc parte trabalhador - VA</t>
  </si>
  <si>
    <t>Qtd dias/mês recebimento aux. alim</t>
  </si>
  <si>
    <t>Vlr - Aux. Alimentação LANCHE (VA)/ POR DIA</t>
  </si>
  <si>
    <t>AUX. ALIMENTACAO Cesta Basica / Premio Assiduidade</t>
  </si>
  <si>
    <t>Cota parte Cesta Basica / Premio Assiduidade (DESCONTO)</t>
  </si>
  <si>
    <t>Em viagem: Despesas de Hospedagem</t>
  </si>
  <si>
    <t>Em viagem: Despesas de Cafe</t>
  </si>
  <si>
    <t>Em viagem: Despesas de Amoço</t>
  </si>
  <si>
    <t>Em viagem: Despesas de Janta</t>
  </si>
  <si>
    <t>Dias de Viagem Fora da sede (desc VA)</t>
  </si>
  <si>
    <t>CCT's Motorista   - Plano de Saude</t>
  </si>
  <si>
    <t>Valor unit. da passagem</t>
  </si>
  <si>
    <t>Quantid. passagens/dia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</si>
  <si>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</si>
  <si>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</si>
  <si>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</si>
  <si>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</si>
  <si>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</si>
  <si>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AUX. EDUCAÇÃO</t>
  </si>
  <si>
    <t>Gratificacao Aniversário</t>
  </si>
  <si>
    <r>
      <rPr>
        <b/>
        <sz val="13"/>
        <color theme="1"/>
        <rFont val="Calibri"/>
      </rPr>
      <t xml:space="preserve">Férias ( Será cotado REPOSICAO responder S ou N ) </t>
    </r>
    <r>
      <rPr>
        <sz val="13"/>
        <color theme="1"/>
        <rFont val="Calibri"/>
      </rPr>
      <t xml:space="preserve"> </t>
    </r>
    <r>
      <rPr>
        <sz val="11"/>
        <color theme="1"/>
        <rFont val="Calibri"/>
      </rPr>
      <t xml:space="preserve">                              
Responder S  ( Calula reposição (Mantem atividade nas férias escolares)                                N
Responder N  ( Não calcula reposição (Todos gozarão férias em JANEIRO)</t>
    </r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</si>
  <si>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</si>
  <si>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</si>
  <si>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</si>
  <si>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</si>
  <si>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</si>
  <si>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</si>
  <si>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</si>
  <si>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</si>
  <si>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.</t>
  </si>
  <si>
    <t xml:space="preserve">QUADRO RESUMO DA PROPOSTA 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</si>
  <si>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</si>
  <si>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</si>
  <si>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</si>
  <si>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</si>
  <si>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</si>
  <si>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</si>
  <si>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ITEM - POSTO</t>
  </si>
  <si>
    <t>JORNADA MÊS
em hs</t>
  </si>
  <si>
    <t>QUANTIDADE DE POSTOS</t>
  </si>
  <si>
    <t>EMPREGADOS por  POSTO</t>
  </si>
  <si>
    <t>VALOR por
EMPREGADO</t>
  </si>
  <si>
    <t>VALOR
itens posto</t>
  </si>
  <si>
    <t>VALOR POR POSTO</t>
  </si>
  <si>
    <t xml:space="preserve">VALOR
 por ITEM
 MÊS </t>
  </si>
  <si>
    <t>soma ESTIMADA
mensal DOS ITENS</t>
  </si>
  <si>
    <t>VIGÊNCIA 
em 
 MESES</t>
  </si>
  <si>
    <t>QUANTITATIV
ITEM
EM MESES</t>
  </si>
  <si>
    <t>VALOR
 por ITEM
ANUAL</t>
  </si>
  <si>
    <t>soma ESTIMADA
anual  DOS ITENS</t>
  </si>
  <si>
    <r>
      <rPr>
        <b/>
        <sz val="16"/>
        <color rgb="FF000000"/>
        <rFont val="Arial"/>
      </rPr>
      <t xml:space="preserve">VALOR
 por ITEM
</t>
    </r>
    <r>
      <rPr>
        <b/>
        <sz val="16"/>
        <color rgb="FF980000"/>
        <rFont val="Arial"/>
      </rPr>
      <t>VIGENCIA DO CONTRATO</t>
    </r>
    <r>
      <rPr>
        <b/>
        <sz val="16"/>
        <color rgb="FF000000"/>
        <rFont val="Arial"/>
      </rPr>
      <t xml:space="preserve">
</t>
    </r>
  </si>
  <si>
    <r>
      <rPr>
        <b/>
        <sz val="16"/>
        <color rgb="FF000000"/>
        <rFont val="Arial"/>
      </rPr>
      <t xml:space="preserve">soma ESTIMADA
 DOS ITENS </t>
    </r>
    <r>
      <rPr>
        <b/>
        <sz val="16"/>
        <color rgb="FF980000"/>
        <rFont val="Arial"/>
      </rPr>
      <t xml:space="preserve">vigencia do contrato </t>
    </r>
  </si>
  <si>
    <t>INICIAL</t>
  </si>
  <si>
    <r>
      <rPr>
        <b/>
        <sz val="13"/>
        <color rgb="FF000000"/>
        <rFont val="Arial"/>
      </rPr>
      <t>DIÁRIAS</t>
    </r>
    <r>
      <rPr>
        <sz val="11"/>
        <color rgb="FF000000"/>
        <rFont val="Arial"/>
      </rPr>
      <t xml:space="preserve"> ESTIMADAS PARA O GRUPO</t>
    </r>
  </si>
  <si>
    <r>
      <rPr>
        <b/>
        <sz val="13"/>
        <color rgb="FF000000"/>
        <rFont val="Arial"/>
      </rPr>
      <t>HORAS EXTRAS</t>
    </r>
    <r>
      <rPr>
        <sz val="11"/>
        <color rgb="FF000000"/>
        <rFont val="Arial"/>
      </rPr>
      <t xml:space="preserve"> ESTIMADAS PARA O GRUPO</t>
    </r>
  </si>
  <si>
    <t>TOTAL CONTRATO (INICIAL)</t>
  </si>
  <si>
    <t xml:space="preserve">                                                                                                     </t>
  </si>
  <si>
    <t>ANEXO IV - C</t>
  </si>
  <si>
    <t>UNIFORMES, - para o posto de AUXILIAR ADMINISTRATIVO</t>
  </si>
  <si>
    <t>Na tabela a seguir as quantidades e os valores mensais foram definidos por colaborador. Valor mensal por colaborador = preço unitário / período de reposição</t>
  </si>
  <si>
    <t>OR.</t>
  </si>
  <si>
    <t>Unidade</t>
  </si>
  <si>
    <t>Preço Unitário</t>
  </si>
  <si>
    <t>Quantidade por colaborador</t>
  </si>
  <si>
    <t>Valor por Colaborador</t>
  </si>
  <si>
    <t>Período de Reposição</t>
  </si>
  <si>
    <t>custo por empregado / periodo de reposicao = CUSTO MES POR COLABORADOR</t>
  </si>
  <si>
    <t>TIPO</t>
  </si>
  <si>
    <t>Uniformes</t>
  </si>
  <si>
    <t>Qtd</t>
  </si>
  <si>
    <t>Periodicidade</t>
  </si>
  <si>
    <t>Entrega</t>
  </si>
  <si>
    <r>
      <rPr>
        <b/>
        <sz val="11"/>
        <color theme="1"/>
        <rFont val="Times New Roman"/>
      </rPr>
      <t>CAMISETA MANGA CURTA:</t>
    </r>
    <r>
      <rPr>
        <sz val="11"/>
        <color theme="1"/>
        <rFont val="Times New Roman"/>
      </rPr>
      <t xml:space="preserve">  Tipo tecido malha algodão, tipo manga curta, tipo gola redonda, cor a definir, tipo costura simples, características adicionais contendo a logomarca da empresa. Tamanhos P, M ,G e GG. Cor a definir.</t>
    </r>
  </si>
  <si>
    <t>meses</t>
  </si>
  <si>
    <t>UNIFORM/EPI</t>
  </si>
  <si>
    <t>Crachá com fotografia 3x4 e nome visível.</t>
  </si>
  <si>
    <r>
      <rPr>
        <b/>
        <sz val="11"/>
        <color theme="1"/>
        <rFont val="Times New Roman"/>
      </rPr>
      <t>CAMISETA MANGA CURTA:</t>
    </r>
    <r>
      <rPr>
        <sz val="11"/>
        <color theme="1"/>
        <rFont val="Times New Roman"/>
      </rPr>
      <t xml:space="preserve">  Tipo tecido malha algodão, tipo manga curta, tipo gola redonda, cor a definir, tipo costura simples, características adicionais contendo a logomarca da empresa. Tamanhos P, M ,G e GG. Cor a definir.</t>
    </r>
  </si>
  <si>
    <t>10 meses</t>
  </si>
  <si>
    <t>Remessa única</t>
  </si>
  <si>
    <t>CUSTO TOTAL MENSAL POR COLABORADOR</t>
  </si>
  <si>
    <t>Modelagem Conta Vinculada  –  Com 1 Férias e Base de Cálculo do Custo do Profissional Ausente (Completa)</t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</si>
  <si>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</si>
  <si>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</si>
  <si>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</si>
  <si>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</si>
  <si>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</si>
  <si>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</si>
  <si>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</si>
  <si>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</si>
  <si>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</si>
  <si>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>D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</si>
  <si>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</si>
  <si>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</si>
  <si>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</si>
  <si>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</si>
  <si>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</si>
  <si>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</si>
  <si>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</si>
  <si>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</si>
  <si>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</si>
  <si>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</si>
  <si>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</si>
  <si>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</si>
  <si>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</si>
  <si>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</si>
  <si>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</si>
  <si>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</si>
  <si>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Classificação Brasileira de Ocupações (CBO)</t>
  </si>
  <si>
    <t xml:space="preserve">Salário Normativo da Categoria Profissional </t>
  </si>
  <si>
    <t>JORNADA
CONTRATADA
(ajustada Dec 12.174</t>
  </si>
  <si>
    <t xml:space="preserve">Categoria Profissional (vinculada à execução contratual) </t>
  </si>
  <si>
    <t xml:space="preserve">Data-Base da Categoria (dia/mês/ano)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</si>
  <si>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</si>
  <si>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>Vlr do salário ×</t>
    </r>
    <r>
      <rPr>
        <b/>
        <sz val="10"/>
        <color rgb="FF000000"/>
        <rFont val="Arial"/>
      </rPr>
      <t xml:space="preserve"> HORA </t>
    </r>
    <r>
      <rPr>
        <b/>
        <sz val="10"/>
        <color rgb="FFFF0000"/>
        <rFont val="Arial"/>
      </rPr>
      <t xml:space="preserve">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</si>
  <si>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</si>
  <si>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EXTRA 50%</t>
    </r>
    <r>
      <rPr>
        <b/>
        <sz val="10"/>
        <color rgb="FFFF0000"/>
        <rFont val="Arial"/>
      </rPr>
      <t xml:space="preserve"> - com Adicionais
</t>
    </r>
    <r>
      <rPr>
        <b/>
        <sz val="10"/>
        <color rgb="FF0000FF"/>
        <rFont val="Arial"/>
      </rPr>
      <t>HE (c/peri) = (valor da hora + 30% de peri) + 50%</t>
    </r>
  </si>
  <si>
    <t>Adicionais Previstos
Modulo - 1</t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</si>
  <si>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NOTURNA</t>
    </r>
    <r>
      <rPr>
        <b/>
        <sz val="10"/>
        <color rgb="FFFF0000"/>
        <rFont val="Arial"/>
      </rPr>
      <t xml:space="preserve">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 QUANDO CABIVEL)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</si>
  <si>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</si>
  <si>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</si>
  <si>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com periculosidade</t>
  </si>
  <si>
    <t>Quantidade de pessoas por posto de serviço</t>
  </si>
  <si>
    <t>VALOR SALARIO MÍNIMO NACIONAL (2024)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</si>
  <si>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</si>
  <si>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</si>
  <si>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</si>
  <si>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</si>
  <si>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</si>
  <si>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r>
      <rPr>
        <b/>
        <sz val="10"/>
        <color theme="1"/>
        <rFont val="Arial"/>
      </rPr>
      <t>Salário-Base</t>
    </r>
    <r>
      <rPr>
        <sz val="10"/>
        <color rgb="FF0000FF"/>
        <rFont val="Arial"/>
      </rPr>
      <t xml:space="preserve"> ( DecRETO 12.174, de 11 de setembro de 2024, que estabeleceu a redução da jornada de trabalho semanal no serviço público de 44 (quarenta e quatro) para 40 (quarenta) horas semanais</t>
    </r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</si>
  <si>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</si>
  <si>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</si>
  <si>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</si>
  <si>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t>E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</si>
  <si>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</si>
  <si>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t>QUANT. hs NOTURNAS</t>
  </si>
  <si>
    <t>Vlr da Hora
NOTURNA</t>
  </si>
  <si>
    <t>F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</si>
  <si>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</si>
  <si>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t>G</t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</si>
  <si>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</si>
  <si>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>H</t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</si>
  <si>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</si>
  <si>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t>QUANT. hs 50%</t>
  </si>
  <si>
    <t>Vlr da Hora 50%</t>
  </si>
  <si>
    <t>I</t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</si>
  <si>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</si>
  <si>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t>QUANT. hs 100%</t>
  </si>
  <si>
    <t xml:space="preserve">Vlr da Hora 100% </t>
  </si>
  <si>
    <t>J</t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</si>
  <si>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</si>
  <si>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t>Qtde Estima DSR(calc.)</t>
  </si>
  <si>
    <t>K</t>
  </si>
  <si>
    <t xml:space="preserve">Outros (especificar)                      </t>
  </si>
  <si>
    <t xml:space="preserve">Remuneração 1 = Total da Remuneração de verbas de natureza salarial nas quais incidem INSS + FGTS + Férias + 13º, etc.  </t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</si>
  <si>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</si>
  <si>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</si>
  <si>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</si>
  <si>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t>Nota1:  O Módulo 1 refere-se ao valor mensal devido ao empregado pela prestação do serviço no período de 12 meses.</t>
  </si>
  <si>
    <t>Módulo 2 : Encargos e Benefícios Anuais, Mensais e Diários</t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</si>
  <si>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</si>
  <si>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2.1</t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</si>
  <si>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</si>
  <si>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Valor (R$)</t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</si>
  <si>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</si>
  <si>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</si>
  <si>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>Total</t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</si>
  <si>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</si>
  <si>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</si>
  <si>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</si>
  <si>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</si>
  <si>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</si>
  <si>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</si>
  <si>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</si>
  <si>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</si>
  <si>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</si>
  <si>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</si>
  <si>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</si>
  <si>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</si>
  <si>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</si>
  <si>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</si>
  <si>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</si>
  <si>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</si>
  <si>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</si>
  <si>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</si>
  <si>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</si>
  <si>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</si>
  <si>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</si>
  <si>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t xml:space="preserve">     A.3) Quantidade de dias do mês de recebimento de passagens</t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</si>
  <si>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</si>
  <si>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</si>
  <si>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</si>
  <si>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</si>
  <si>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</si>
  <si>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 xml:space="preserve">PREMIO ASSIDUIDADE 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</si>
  <si>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</si>
  <si>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L</t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</si>
  <si>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</si>
  <si>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M</t>
  </si>
  <si>
    <t>Plano de Beneficio Familiar - BSF</t>
  </si>
  <si>
    <t>AUXILIO CRECHE - Decreto no 12.174, IN SEGES /MGI n 147,
Auxílio Creche = 20% de R$ 526,24 x nº de colaboradores (provisionamento)</t>
  </si>
  <si>
    <t xml:space="preserve"> ( NAO REDUZIR ESSE PERCENTUAL PARA FINS DE JULGAMENTO ISONÔNIMA DA LICITAÇAÕ). Conforme Art. 6, § 4: possui natureza estimativa e o seu pagamento fica condicionado à comprovação mensal, pela contratada, do efetivo desembolso em favor dos trabalhadores beneficiários.</t>
  </si>
  <si>
    <t>Total -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</si>
  <si>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</si>
  <si>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</si>
  <si>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</si>
  <si>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</si>
  <si>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t>Módulo 3 - Provisão para Rescisão</t>
  </si>
  <si>
    <t>Provisão para Rescisão</t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</si>
  <si>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</si>
  <si>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t>Incidência do FGTS sobre o Aviso Prévio Indenizado</t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</si>
  <si>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</si>
  <si>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t>Incidência de GPS, FGTS e outras contribuições sobre o Aviso Prévio Trabalhado</t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</si>
  <si>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</si>
  <si>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</si>
  <si>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</si>
  <si>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</si>
  <si>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</si>
  <si>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t>MÓD 1                 (= a Rem1)=</t>
  </si>
  <si>
    <t>+</t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</si>
  <si>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VA, VT, Auxílio Creche)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</si>
  <si>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t>MÓD 3 =</t>
  </si>
  <si>
    <t xml:space="preserve">Submódulo 4.1 – Substituto nas Ausências Legais </t>
  </si>
  <si>
    <t>4.1</t>
  </si>
  <si>
    <t>Substituto nas Ausências Legais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</si>
  <si>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</si>
  <si>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</si>
  <si>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</si>
  <si>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</si>
  <si>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- Aux. Creche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</si>
  <si>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</si>
  <si>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</si>
  <si>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</si>
  <si>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</si>
  <si>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</si>
  <si>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</si>
  <si>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</si>
  <si>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</si>
  <si>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</si>
  <si>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</si>
  <si>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</si>
  <si>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>Outros (especificar)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</si>
  <si>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</si>
  <si>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</si>
  <si>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</si>
  <si>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</si>
  <si>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</si>
  <si>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</si>
  <si>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</si>
  <si>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</si>
  <si>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</si>
  <si>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</si>
  <si>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</si>
  <si>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</si>
  <si>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</si>
  <si>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</si>
  <si>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</si>
  <si>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</si>
  <si>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t xml:space="preserve">  a) ISS             </t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</si>
  <si>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</si>
  <si>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</si>
  <si>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</si>
  <si>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</si>
  <si>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</si>
  <si>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</si>
  <si>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t>2 RESUMO DOS MODULOS</t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</si>
  <si>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</si>
  <si>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</si>
  <si>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</si>
  <si>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</si>
  <si>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</si>
  <si>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</si>
  <si>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</si>
  <si>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t xml:space="preserve">Valor Total por posto </t>
  </si>
  <si>
    <t xml:space="preserve">O complemento abaixo é uma planilha auxiliar que consolida as várias planilhas com os diferentes tipos de postos </t>
  </si>
  <si>
    <t>3.  COMPLEMENTO DOS SERVIÇOS – VALOR MENSAL DOS SERVIÇOS</t>
  </si>
  <si>
    <t>ESCALA DE TRABALHO</t>
  </si>
  <si>
    <t>VALOR MES
POR PESSOA 
(R$)</t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</si>
  <si>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</si>
  <si>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</si>
  <si>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</si>
  <si>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</si>
  <si>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</si>
  <si>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item-1 POSTO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</si>
  <si>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</si>
  <si>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</si>
  <si>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</si>
  <si>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</si>
  <si>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</si>
  <si>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</si>
  <si>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</si>
  <si>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</si>
  <si>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sz val="28"/>
        <color rgb="FFFFFFFF"/>
        <rFont val="Calibri"/>
      </rPr>
      <t xml:space="preserve">CALCULO DO CUSTO EXCLUSIVO de </t>
    </r>
    <r>
      <rPr>
        <b/>
        <sz val="28"/>
        <color rgb="FFFFFFFF"/>
        <rFont val="Calibri"/>
      </rPr>
      <t>HORAS EXTRAS</t>
    </r>
  </si>
  <si>
    <t xml:space="preserve">Composição da Remuneração 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</si>
  <si>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</si>
  <si>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t>Vlr do ADICIONAL da Hora
NOTURNA</t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</si>
  <si>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</si>
  <si>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t>Vlr
 da Hora 50%</t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</si>
  <si>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</si>
  <si>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t xml:space="preserve">Vlr 
 da Hora 100% </t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</si>
  <si>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</si>
  <si>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t>Remuneração 
Valor entra nos seguintes cálculos: Item 2, "A" - Quadro-Resumo do Custo por Posto de Trabalho, Custos Indiretos, Lucro e Tributos.</t>
  </si>
  <si>
    <t xml:space="preserve">Submódulo 2.1 – 13º (décimo terceiro) Salário (Férias???) e Adicional de Férias </t>
  </si>
  <si>
    <t>13º (décimo terceiro) Salário (Férias???) e Adicional de Férias</t>
  </si>
  <si>
    <t>13º (décimo terceiro) Salário Obrigatória a cotação de 8,33% sobre o valor do Módulo 1 – Composição da Remuneração1, conforme Anexo XII da IN 5/17</t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</si>
  <si>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</si>
  <si>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>GPS, FGTS e outras contribuições -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</si>
  <si>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</si>
  <si>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Módulo 3 - Provisão para Rescisão -</t>
  </si>
  <si>
    <t>Aviso Prévio Indenizado 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</si>
  <si>
    <r>
      <rPr>
        <b/>
        <sz val="9"/>
        <color rgb="FF000000"/>
        <rFont val="Arial"/>
      </rPr>
      <t xml:space="preserve">Aviso Prévio Trabalhado  </t>
    </r>
    <r>
      <rPr>
        <b/>
        <sz val="9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9"/>
        <color rgb="FF0000FF"/>
        <rFont val="Arial"/>
      </rPr>
      <t xml:space="preserve">
CONFORME ACORDAO  TCU 1.186/2017 definiu NOTA TEC. 652/2017 - MP
 </t>
    </r>
    <r>
      <rPr>
        <b/>
        <u/>
        <sz val="9"/>
        <color rgb="FF0000FF"/>
        <rFont val="Arial"/>
      </rPr>
      <t xml:space="preserve">PERCENTUAL MAXIMO DE 1,94% </t>
    </r>
    <r>
      <rPr>
        <b/>
        <sz val="9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</si>
  <si>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t>Multa do FGTS sobre o Aviso PrévioTrabalhado e Aviso Prévio IndenizadoObrigatória a cotação de 4% sobre o valor do Módulo 1 – Composição da Remuneração1, conforme Anexo XII da IN Seges nº 5/2017</t>
  </si>
  <si>
    <t>Base de cálculo para o Custo de Reposição do Profissional Ausente (substituto): BCCPA = MÓDULO 1 (= a Rem2) + MÓDULO 2 + MÓDULO 3 - exceto o Substituto na cobertura de Férias e o Afastamento Maternidade, sendo que neste último a Rem e o 13º podem ser compensados pelo INSS, ambos com base de cálculo própria, conforme consta nesses itens de custo.</t>
  </si>
  <si>
    <t>MÓD 1 (= a Rem1)=</t>
  </si>
  <si>
    <t>MÓD 2 (sem VA e VT) =</t>
  </si>
  <si>
    <t>Substituto nas Ausências Legais -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</si>
  <si>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</si>
  <si>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</si>
  <si>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</si>
  <si>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</si>
  <si>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</si>
  <si>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1"/>
        <color theme="1"/>
        <rFont val="Arial"/>
      </rPr>
      <t>Substituto na cobertura de Outras ausências (especificar)
Substituto na cobertura de Ausência por doença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 xml:space="preserve">(incluído)
</t>
    </r>
    <r>
      <rPr>
        <b/>
        <sz val="11"/>
        <color rgb="FFFF0000"/>
        <rFont val="Arial"/>
      </rPr>
      <t>Cálculo do valor = [(</t>
    </r>
    <r>
      <rPr>
        <b/>
        <sz val="11"/>
        <color rgb="FF0000FF"/>
        <rFont val="Arial"/>
      </rPr>
      <t>BCCPA</t>
    </r>
    <r>
      <rPr>
        <b/>
        <sz val="11"/>
        <color rgb="FFFF0000"/>
        <rFont val="Arial"/>
      </rPr>
      <t>)/30)x3dias]/12 
Incluído por permissão da IN Seges nº 5/2017, Anexo VII-B, item 1.7, alíneas "b" e "c".5.</t>
    </r>
  </si>
  <si>
    <t xml:space="preserve">Custos Indiretos, Lucro e Tributos - HORAS EXTRAS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</si>
  <si>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</si>
  <si>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</si>
  <si>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</si>
  <si>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</si>
  <si>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Mão de obra vinculada à execução contratual (valor por Posto de Trabalho) - HORAS EXTRAS </t>
  </si>
  <si>
    <t xml:space="preserve">Valor Total (PARA HORAS) conforme QUANTITATIVO DE HORAS lançadas </t>
  </si>
  <si>
    <t>item-2 HORAS HORAS EXTRAS</t>
  </si>
  <si>
    <t xml:space="preserve">CALCULO DO CUSTO EXCLUSIVO das DIÁRIAS </t>
  </si>
  <si>
    <t xml:space="preserve">Benefícios Mensais e Diários - DIÁRIAS  </t>
  </si>
  <si>
    <t>Amparo Legal</t>
  </si>
  <si>
    <t>Localidade-I</t>
  </si>
  <si>
    <t>Vlr 
Localidade - I</t>
  </si>
  <si>
    <t>Localidade-II</t>
  </si>
  <si>
    <t>Vlr 
Localidade - II</t>
  </si>
  <si>
    <t>Localidade-III</t>
  </si>
  <si>
    <t>Vlr Demais 
Localidades</t>
  </si>
  <si>
    <t>DIARIAS
Decreto
11.872/23</t>
  </si>
  <si>
    <t xml:space="preserve">BRASILIA
MANAUS
R. JANEIRO
SAO PAULO </t>
  </si>
  <si>
    <t xml:space="preserve"> OUTRAS
CAPITAIS e 
ESTADOS </t>
  </si>
  <si>
    <t>DEMAIS 
LOCALIDADES</t>
  </si>
  <si>
    <t>QUANTIDADE
LOCALIDADE-I</t>
  </si>
  <si>
    <t>QUANTIDADE
LOCALIDADE-II</t>
  </si>
  <si>
    <t>QUANTIDADE
LOCALIDADE-III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</si>
  <si>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</si>
  <si>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</si>
  <si>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</si>
  <si>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</si>
  <si>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Mão de obra vinculada à execução contratual (valor por Posto de Trabalho) DIÁRIAS</t>
  </si>
  <si>
    <t>Módulo 2 – Encargos e Benefícios Anuais, Mensais e Diários (INDENIZAÇÕES - DIÁRIAS)</t>
  </si>
  <si>
    <t>Valor Total (PARA DIARIAS) conforme VALOR ESTIMADO DE DIÁRIAS</t>
  </si>
  <si>
    <t xml:space="preserve">item-3 DIARIAS  </t>
  </si>
  <si>
    <t>3.  COMPLEMENTO DOS SERVIÇOS – VALOR MENSAL DOS SERVIÇOS - DIÁRIAS</t>
  </si>
  <si>
    <t xml:space="preserve">VALOR MES
POR PESSOA 
DIÁRIAS  - AUX.ADMIN.  </t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</si>
  <si>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</si>
  <si>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t>Valor mensal do serviço - DIÁRIAS (estimado MES)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</si>
  <si>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</si>
  <si>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 xml:space="preserve">TOTAL GERAL 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</si>
  <si>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</si>
  <si>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</si>
  <si>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</si>
  <si>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t>Não deveria dividir por 200 aqui ao inves de 220???</t>
  </si>
  <si>
    <r>
      <rPr>
        <b/>
        <sz val="10"/>
        <color rgb="FFFF0000"/>
        <rFont val="Arial"/>
      </rPr>
      <t>Vlr do salário ×</t>
    </r>
    <r>
      <rPr>
        <b/>
        <sz val="10"/>
        <color rgb="FF000000"/>
        <rFont val="Arial"/>
      </rPr>
      <t xml:space="preserve"> HORA </t>
    </r>
    <r>
      <rPr>
        <b/>
        <sz val="10"/>
        <color rgb="FFFF0000"/>
        <rFont val="Arial"/>
      </rPr>
      <t xml:space="preserve">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</si>
  <si>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</si>
  <si>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EXTRA 50%</t>
    </r>
    <r>
      <rPr>
        <b/>
        <sz val="10"/>
        <color rgb="FFFF0000"/>
        <rFont val="Arial"/>
      </rPr>
      <t xml:space="preserve">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</si>
  <si>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2"/>
        <color rgb="FFFF0000"/>
        <rFont val="Arial"/>
      </rPr>
      <t xml:space="preserve">Valor da hora NOTURNA  com adicionais pertinentes 
</t>
    </r>
    <r>
      <rPr>
        <b/>
        <sz val="12"/>
        <color rgb="FF0000FF"/>
        <rFont val="Arial"/>
      </rPr>
      <t>AN (c/peri) =</t>
    </r>
    <r>
      <rPr>
        <b/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(valor da hora + 30% de peri QUANDO CABIVEL)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</si>
  <si>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</si>
  <si>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t xml:space="preserve">Valor da Hora COM 
periculosidade </t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</si>
  <si>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</si>
  <si>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r>
      <rPr>
        <b/>
        <sz val="10"/>
        <color theme="1"/>
        <rFont val="Arial"/>
      </rPr>
      <t>Salário-Base</t>
    </r>
    <r>
      <rPr>
        <sz val="10"/>
        <color rgb="FF0000FF"/>
        <rFont val="Arial"/>
      </rPr>
      <t xml:space="preserve"> ( DecRETO 12.174, de 11 de setembro de 2024, que estabeleceu a redução da jornada de trabalho semanal no serviço público de 44 (quarenta e quatro) para 40 (quarenta) horas semanais</t>
    </r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</si>
  <si>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</si>
  <si>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</si>
  <si>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</si>
  <si>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</si>
  <si>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</si>
  <si>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</si>
  <si>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</si>
  <si>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</si>
  <si>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</si>
  <si>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</si>
  <si>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</si>
  <si>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</si>
  <si>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</si>
  <si>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</si>
  <si>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</si>
  <si>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</si>
  <si>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</si>
  <si>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</si>
  <si>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</si>
  <si>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</si>
  <si>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</si>
  <si>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</si>
  <si>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</si>
  <si>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</si>
  <si>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</si>
  <si>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</si>
  <si>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</si>
  <si>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</si>
  <si>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</si>
  <si>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</si>
  <si>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</si>
  <si>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</si>
  <si>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</si>
  <si>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VA, VT, Auxílio Creche)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</si>
  <si>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</si>
  <si>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</si>
  <si>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</si>
  <si>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</si>
  <si>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</si>
  <si>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</si>
  <si>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 xml:space="preserve">Outros  </t>
  </si>
  <si>
    <t>0.00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</si>
  <si>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</si>
  <si>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</si>
  <si>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</si>
  <si>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</si>
  <si>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</si>
  <si>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</si>
  <si>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Valor Total por Posto</t>
  </si>
  <si>
    <t>PREÇO MENSAL DO POSTO  
(R$)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</si>
  <si>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</si>
  <si>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</si>
  <si>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sz val="28"/>
        <color rgb="FFFFFFFF"/>
        <rFont val="Calibri"/>
      </rPr>
      <t xml:space="preserve">CALCULO DO CUSTO EXCLUSIVO de </t>
    </r>
    <r>
      <rPr>
        <b/>
        <sz val="28"/>
        <color rgb="FFFFFFFF"/>
        <rFont val="Calibri"/>
      </rPr>
      <t>HORAS EXTRAS</t>
    </r>
  </si>
  <si>
    <t>Composição da Remuneração</t>
  </si>
  <si>
    <t>Valor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</si>
  <si>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</si>
  <si>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</si>
  <si>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</si>
  <si>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</si>
  <si>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t>Remuneração  
Valor entra nos seguintes cálculos: Item 2, "A" - Quadro-Resumo do Custo por Posto de Trabalho, Custos Indiretos, Lucro e Tributos.</t>
  </si>
  <si>
    <t>Submódulo 2.1 – 13º (décimo terceiro) Salário (Férias???) e Adicional de Férias</t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</si>
  <si>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</si>
  <si>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 xml:space="preserve">GPS, FGTS e outras contribuições -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</si>
  <si>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</si>
  <si>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 xml:space="preserve">Módulo 3 - Provisão para Rescisão - HORAS EXTRAS </t>
  </si>
  <si>
    <r>
      <rPr>
        <b/>
        <sz val="9"/>
        <color rgb="FF000000"/>
        <rFont val="Arial"/>
      </rPr>
      <t xml:space="preserve">Aviso Prévio Trabalhado  </t>
    </r>
    <r>
      <rPr>
        <b/>
        <sz val="9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9"/>
        <color rgb="FF0000FF"/>
        <rFont val="Arial"/>
      </rPr>
      <t xml:space="preserve">
CONFORME ACORDAO  TCU 1.186/2017 definiu NOTA TEC. 652/2017 - MP
 </t>
    </r>
    <r>
      <rPr>
        <b/>
        <u/>
        <sz val="9"/>
        <color rgb="FF0000FF"/>
        <rFont val="Arial"/>
      </rPr>
      <t xml:space="preserve">PERCENTUAL MAXIMO DE 1,94% </t>
    </r>
    <r>
      <rPr>
        <b/>
        <sz val="9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</si>
  <si>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</si>
  <si>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</si>
  <si>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t>IF('1-ABA-DE-CARREGAMENTO'!D81="S";(ROUND(H133*J58;2)*(1+I133));IF('1-ABA-DE-CARREGAMENTO'!D81="N";0;"INFORME S ou N"))</t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</si>
  <si>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</si>
  <si>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</si>
  <si>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</si>
  <si>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1"/>
        <color theme="1"/>
        <rFont val="Arial"/>
      </rPr>
      <t>Substituto na cobertura de Outras ausências (especificar)
Substituto na cobertura de Ausência por doença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 xml:space="preserve">(incluído)
</t>
    </r>
    <r>
      <rPr>
        <b/>
        <sz val="11"/>
        <color rgb="FFFF0000"/>
        <rFont val="Arial"/>
      </rPr>
      <t>Cálculo do valor = [(</t>
    </r>
    <r>
      <rPr>
        <b/>
        <sz val="11"/>
        <color rgb="FF0000FF"/>
        <rFont val="Arial"/>
      </rPr>
      <t>BCCPA</t>
    </r>
    <r>
      <rPr>
        <b/>
        <sz val="11"/>
        <color rgb="FFFF0000"/>
        <rFont val="Arial"/>
      </rPr>
      <t xml:space="preserve">)/30)x3dias]/12 
Incluído por permissão da IN Seges nº 5/2017, Anexo VII-B, item 1.7, alíneas "b" e "c".5.
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</si>
  <si>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</si>
  <si>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</si>
  <si>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</si>
  <si>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</si>
  <si>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Custos Indiretos, Lucro e Tributos -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</si>
  <si>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</si>
  <si>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</si>
  <si>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</si>
  <si>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</si>
  <si>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</si>
  <si>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</si>
  <si>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</si>
  <si>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</si>
  <si>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</si>
  <si>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</si>
  <si>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</si>
  <si>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</si>
  <si>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</si>
  <si>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</si>
  <si>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</si>
  <si>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Salário-Base</t>
    </r>
    <r>
      <rPr>
        <sz val="10"/>
        <color rgb="FF0000FF"/>
        <rFont val="Arial"/>
      </rPr>
      <t xml:space="preserve"> ( DecRETO 12.174, de 11 de setembro de 2024, que estabeleceu a redução da jornada de trabalho semanal no serviço público de 44 (quarenta e quatro) para 40 (quarenta) horas semanais</t>
    </r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</si>
  <si>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</si>
  <si>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</si>
  <si>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t>Adicional de Insalubridade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</si>
  <si>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</si>
  <si>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</si>
  <si>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</si>
  <si>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</si>
  <si>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</si>
  <si>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</si>
  <si>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-</t>
    </r>
    <r>
      <rPr>
        <b/>
        <sz val="10"/>
        <color theme="1"/>
        <rFont val="Arial"/>
      </rPr>
      <t xml:space="preserve"> </t>
    </r>
    <r>
      <rPr>
        <b/>
        <i/>
        <u/>
        <sz val="10"/>
        <color rgb="FFFF0000"/>
        <rFont val="Arial"/>
      </rPr>
      <t>Cálculo do valor: Vlr HE  * 22d * 0,5hs (meio hora por dia/intervalo minimo)</t>
    </r>
    <r>
      <rPr>
        <b/>
        <sz val="10"/>
        <color theme="1"/>
        <rFont val="Arial"/>
      </rPr>
      <t xml:space="preserve">  (cláusula 51 da CCT )  
</t>
    </r>
    <r>
      <rPr>
        <b/>
        <sz val="10"/>
        <color rgb="FF980000"/>
        <rFont val="Arial"/>
      </rPr>
      <t xml:space="preserve">Sendo a mesma somente de carater indenizatório pelo funcionário ter como necessidade permanecer no posto durante o intervalo para refeição/descanso.
</t>
    </r>
    <r>
      <rPr>
        <b/>
        <sz val="10"/>
        <color rgb="FF0000FF"/>
        <rFont val="Arial"/>
      </rPr>
      <t>(observado que o PARECER SEI No 139/2024/MF pela CCT adotada não se entender como vinculante)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</si>
  <si>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</si>
  <si>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</si>
  <si>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</si>
  <si>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</si>
  <si>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</si>
  <si>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</si>
  <si>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</si>
  <si>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</si>
  <si>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</si>
  <si>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</si>
  <si>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</si>
  <si>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</si>
  <si>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</si>
  <si>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</si>
  <si>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</si>
  <si>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</si>
  <si>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</si>
  <si>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</si>
  <si>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</si>
  <si>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</si>
  <si>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</si>
  <si>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</si>
  <si>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</si>
  <si>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VA, VT, Auxílio Creche)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</si>
  <si>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</si>
  <si>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</si>
  <si>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</si>
  <si>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</si>
  <si>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</si>
  <si>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</si>
  <si>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</si>
  <si>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</si>
  <si>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</si>
  <si>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</si>
  <si>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</si>
  <si>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  a) ISS        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</si>
  <si>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</si>
  <si>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</si>
  <si>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</si>
  <si>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sz val="28"/>
        <color rgb="FFFFFFFF"/>
        <rFont val="Calibri"/>
      </rPr>
      <t xml:space="preserve">CALCULO DO CUSTO EXCLUSIVO de </t>
    </r>
    <r>
      <rPr>
        <b/>
        <sz val="28"/>
        <color rgb="FFFFFFFF"/>
        <rFont val="Calibri"/>
      </rPr>
      <t>HORAS EXTRAS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</si>
  <si>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</si>
  <si>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</si>
  <si>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</si>
  <si>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</si>
  <si>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</si>
  <si>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 xml:space="preserve">GPS, FGTS e outras contribuições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</si>
  <si>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</si>
  <si>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 xml:space="preserve">Módulo 3 - Provisão para Rescisão </t>
  </si>
  <si>
    <r>
      <rPr>
        <b/>
        <sz val="9"/>
        <color rgb="FF000000"/>
        <rFont val="Arial"/>
      </rPr>
      <t xml:space="preserve">Aviso Prévio Trabalhado  </t>
    </r>
    <r>
      <rPr>
        <b/>
        <sz val="9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9"/>
        <color rgb="FF0000FF"/>
        <rFont val="Arial"/>
      </rPr>
      <t xml:space="preserve">
CONFORME ACORDAO  TCU 1.186/2017 definiu NOTA TEC. 652/2017 - MP
 </t>
    </r>
    <r>
      <rPr>
        <b/>
        <u/>
        <sz val="9"/>
        <color rgb="FF0000FF"/>
        <rFont val="Arial"/>
      </rPr>
      <t xml:space="preserve">PERCENTUAL MAXIMO DE 1,94% </t>
    </r>
    <r>
      <rPr>
        <b/>
        <sz val="9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</si>
  <si>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t>Substituto nas Ausências Legais - HORAS EXTRAS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</si>
  <si>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</si>
  <si>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</si>
  <si>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</si>
  <si>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</si>
  <si>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</si>
  <si>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1"/>
        <color theme="1"/>
        <rFont val="Arial"/>
      </rPr>
      <t>Substituto na cobertura de Outras ausências (especificar)
Substituto na cobertura de Ausência por doença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 xml:space="preserve">(incluído)
</t>
    </r>
    <r>
      <rPr>
        <b/>
        <sz val="11"/>
        <color rgb="FFFF0000"/>
        <rFont val="Arial"/>
      </rPr>
      <t>Cálculo do valor = [(</t>
    </r>
    <r>
      <rPr>
        <b/>
        <sz val="11"/>
        <color rgb="FF0000FF"/>
        <rFont val="Arial"/>
      </rPr>
      <t>BCCPA</t>
    </r>
    <r>
      <rPr>
        <b/>
        <sz val="11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</si>
  <si>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</si>
  <si>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</si>
  <si>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</si>
  <si>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</si>
  <si>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Custos Indiretos, Lucro e Tributos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</si>
  <si>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</si>
  <si>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</si>
  <si>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</si>
  <si>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</si>
  <si>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</si>
  <si>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</si>
  <si>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</si>
  <si>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</si>
  <si>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
</t>
  </si>
  <si>
    <r>
      <rPr>
        <b/>
        <sz val="10"/>
        <color rgb="FFFF0000"/>
        <rFont val="Arial"/>
      </rPr>
      <t xml:space="preserve">Valor do salário x 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</si>
  <si>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</si>
  <si>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</si>
  <si>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</si>
  <si>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25%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</si>
  <si>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50% com ADIC 25% SÁBADOS (febrabpils)
</t>
    </r>
    <r>
      <rPr>
        <b/>
        <sz val="10"/>
        <color rgb="FF0070C0"/>
        <rFont val="Arial"/>
      </rPr>
      <t>salar hora × 1,75</t>
    </r>
  </si>
  <si>
    <r>
      <rPr>
        <b/>
        <sz val="10"/>
        <color rgb="FFFF0000"/>
        <rFont val="Arial"/>
      </rPr>
      <t xml:space="preserve">Valor da hora EXTRA A 100% com ADIC 50% DOMINGOS E FERIADOS (febrabpils)
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</si>
  <si>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Salário-Base</t>
    </r>
    <r>
      <rPr>
        <sz val="10"/>
        <color rgb="FF0000FF"/>
        <rFont val="Arial"/>
      </rPr>
      <t xml:space="preserve"> ( DecRETO 12.174, de 11 de setembro de 2024, que estabeleceu a redução da jornada de trabalho semanal no serviço público de 44 (quarenta e quatro) para 40 (quarenta) horas semanais</t>
    </r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</si>
  <si>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</si>
  <si>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    (30% do Salário-Base) 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</si>
  <si>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</si>
  <si>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</si>
  <si>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</si>
  <si>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</si>
  <si>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</si>
  <si>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</si>
  <si>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</si>
  <si>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</si>
  <si>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-</t>
    </r>
    <r>
      <rPr>
        <b/>
        <sz val="10"/>
        <color theme="1"/>
        <rFont val="Arial"/>
      </rPr>
      <t xml:space="preserve"> </t>
    </r>
    <r>
      <rPr>
        <b/>
        <i/>
        <u/>
        <sz val="10"/>
        <color rgb="FFFF0000"/>
        <rFont val="Arial"/>
      </rPr>
      <t>Cálculo do valor: Vlr HE  * 22d * 0,5hs (meio hora por dia/intervalo minimo)</t>
    </r>
    <r>
      <rPr>
        <b/>
        <sz val="10"/>
        <color theme="1"/>
        <rFont val="Arial"/>
      </rPr>
      <t xml:space="preserve">  (cláusula 51 da CCT )  
</t>
    </r>
    <r>
      <rPr>
        <b/>
        <sz val="10"/>
        <color rgb="FF980000"/>
        <rFont val="Arial"/>
      </rPr>
      <t xml:space="preserve">Sendo a mesma somente de carater indenizatório pelo funcionário ter como necessidade permanecer no posto durante o intervalo para refeição/descanso.
</t>
    </r>
    <r>
      <rPr>
        <b/>
        <sz val="10"/>
        <color rgb="FF0000FF"/>
        <rFont val="Arial"/>
      </rPr>
      <t>(observado que o PARECER SEI No 139/2024/MF pela CCT adotada não se entender como vinculante)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</si>
  <si>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</si>
  <si>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</si>
  <si>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</si>
  <si>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</si>
  <si>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</si>
  <si>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</si>
  <si>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</si>
  <si>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</si>
  <si>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</si>
  <si>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</si>
  <si>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</si>
  <si>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</si>
  <si>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</si>
  <si>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</si>
  <si>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</si>
  <si>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</si>
  <si>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</si>
  <si>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</si>
  <si>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</si>
  <si>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</si>
  <si>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</si>
  <si>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</si>
  <si>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</si>
  <si>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VA, VT, Auxílio Creche)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</si>
  <si>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</si>
  <si>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</si>
  <si>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</si>
  <si>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</si>
  <si>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</si>
  <si>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</si>
  <si>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</si>
  <si>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</si>
  <si>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</si>
  <si>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</si>
  <si>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</si>
  <si>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</si>
  <si>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</si>
  <si>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</si>
  <si>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sz val="28"/>
        <color rgb="FFFFFFFF"/>
        <rFont val="Calibri"/>
      </rPr>
      <t xml:space="preserve">CALCULO DO CUSTO EXCLUSIVO de </t>
    </r>
    <r>
      <rPr>
        <b/>
        <sz val="28"/>
        <color rgb="FFFFFFFF"/>
        <rFont val="Calibri"/>
      </rPr>
      <t>HORAS EXTRAS</t>
    </r>
  </si>
  <si>
    <t xml:space="preserve">Composição da Remuneração - HORAS EXTRAS - AUX.ADMIN.     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</si>
  <si>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</si>
  <si>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</si>
  <si>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</si>
  <si>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</si>
  <si>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t>Remuneração  das horas -HORAS EXTRAS - 
Valor entra nos seguintes cálculos: Item 2, "A" - Quadro-Resumo do Custo por Posto de Trabalho, Custos Indiretos, Lucro e Tributos.</t>
  </si>
  <si>
    <t>Submódulo 2.1 – 13º (décimo terceiro) Salário (Férias???) e Adicional de Férias - HORAS EXTRAS -</t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</si>
  <si>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</si>
  <si>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 xml:space="preserve">GPS, FGTS e outras contribuições - HORAS EXTRAS - AUX.ADMIN.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</si>
  <si>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</si>
  <si>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9"/>
        <color rgb="FF000000"/>
        <rFont val="Arial"/>
      </rPr>
      <t xml:space="preserve">Aviso Prévio Trabalhado  </t>
    </r>
    <r>
      <rPr>
        <b/>
        <sz val="9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9"/>
        <color rgb="FF0000FF"/>
        <rFont val="Arial"/>
      </rPr>
      <t xml:space="preserve">
CONFORME ACORDAO  TCU 1.186/2017 definiu NOTA TEC. 652/2017 - MP
 </t>
    </r>
    <r>
      <rPr>
        <b/>
        <u/>
        <sz val="9"/>
        <color rgb="FF0000FF"/>
        <rFont val="Arial"/>
      </rPr>
      <t xml:space="preserve">PERCENTUAL MAXIMO DE 1,94% </t>
    </r>
    <r>
      <rPr>
        <b/>
        <sz val="9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</si>
  <si>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t xml:space="preserve">Substituto nas Ausências Legais - HORAS EXTRAS - AUX.ADMIN.     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</si>
  <si>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</si>
  <si>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</si>
  <si>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</si>
  <si>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</si>
  <si>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</si>
  <si>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1"/>
        <color theme="1"/>
        <rFont val="Arial"/>
      </rPr>
      <t>Substituto na cobertura de Outras ausências (especificar)
Substituto na cobertura de Ausência por doença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 xml:space="preserve">(incluído)
</t>
    </r>
    <r>
      <rPr>
        <b/>
        <sz val="11"/>
        <color rgb="FFFF0000"/>
        <rFont val="Arial"/>
      </rPr>
      <t>Cálculo do valor = [(</t>
    </r>
    <r>
      <rPr>
        <b/>
        <sz val="11"/>
        <color rgb="FF0000FF"/>
        <rFont val="Arial"/>
      </rPr>
      <t>BCCPA</t>
    </r>
    <r>
      <rPr>
        <b/>
        <sz val="11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</si>
  <si>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</si>
  <si>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</si>
  <si>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</si>
  <si>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</si>
  <si>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Custos Indiretos, Lucro e Tributos - DIÁRIAS  - AUX.ADMIN.   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</si>
  <si>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</si>
  <si>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</si>
  <si>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</si>
  <si>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</si>
  <si>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</si>
  <si>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</si>
  <si>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</si>
  <si>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</si>
  <si>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</si>
  <si>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</si>
  <si>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</si>
  <si>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</si>
  <si>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</si>
  <si>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</si>
  <si>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</si>
  <si>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Salário-Base</t>
    </r>
    <r>
      <rPr>
        <sz val="10"/>
        <color rgb="FF0000FF"/>
        <rFont val="Arial"/>
      </rPr>
      <t xml:space="preserve"> ( DecRETO 12.174, de 11 de setembro de 2024, que estabeleceu a redução da jornada de trabalho semanal no serviço público de 44 (quarenta e quatro) para 40 (quarenta) horas semanais</t>
    </r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</si>
  <si>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</si>
  <si>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</si>
  <si>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</si>
  <si>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</si>
  <si>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</si>
  <si>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</si>
  <si>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</si>
  <si>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</si>
  <si>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</si>
  <si>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</si>
  <si>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t>j</t>
  </si>
  <si>
    <r>
      <rPr>
        <b/>
        <sz val="10"/>
        <color theme="1"/>
        <rFont val="Arial"/>
      </rPr>
      <t>Intervalo Intrajornada ((S</t>
    </r>
    <r>
      <rPr>
        <b/>
        <sz val="10"/>
        <color rgb="FFFF0000"/>
        <rFont val="Arial"/>
      </rPr>
      <t xml:space="preserve">alar /220h + 50% x 15 dias)*0,5 horas intrajornada
</t>
    </r>
    <r>
      <rPr>
        <b/>
        <sz val="10"/>
        <color theme="1"/>
        <rFont val="Arial"/>
      </rPr>
      <t xml:space="preserve"> Clausula 51 CCT Intrajornada deve ser de no mínimo  30min             </t>
    </r>
  </si>
  <si>
    <t>k</t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</si>
  <si>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</si>
  <si>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-</t>
    </r>
    <r>
      <rPr>
        <b/>
        <sz val="10"/>
        <color theme="1"/>
        <rFont val="Arial"/>
      </rPr>
      <t xml:space="preserve"> </t>
    </r>
    <r>
      <rPr>
        <b/>
        <i/>
        <u/>
        <sz val="10"/>
        <color rgb="FFFF0000"/>
        <rFont val="Arial"/>
      </rPr>
      <t>Cálculo do valor: Vlr HE  * 22d * 0,5hs (meio hora por dia/intervalo minimo)</t>
    </r>
    <r>
      <rPr>
        <b/>
        <sz val="10"/>
        <color theme="1"/>
        <rFont val="Arial"/>
      </rPr>
      <t xml:space="preserve">  (cláusula 51 da CCT )  
</t>
    </r>
    <r>
      <rPr>
        <b/>
        <sz val="10"/>
        <color rgb="FF980000"/>
        <rFont val="Arial"/>
      </rPr>
      <t xml:space="preserve">Sendo a mesma somente de carater indenizatório pelo funcionário ter como necessidade permanecer no posto durante o intervalo para refeição/descanso.
</t>
    </r>
    <r>
      <rPr>
        <b/>
        <sz val="10"/>
        <color rgb="FF0000FF"/>
        <rFont val="Arial"/>
      </rPr>
      <t>(observado que o PARECER SEI No 139/2024/MF pela CCT adotada não se entender como vinculante)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</si>
  <si>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</si>
  <si>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</si>
  <si>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</si>
  <si>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</si>
  <si>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</si>
  <si>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</si>
  <si>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</si>
  <si>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</si>
  <si>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</si>
  <si>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</si>
  <si>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</si>
  <si>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</si>
  <si>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</si>
  <si>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</si>
  <si>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</si>
  <si>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</si>
  <si>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AUXILIO EDUCACAO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</si>
  <si>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</si>
  <si>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</si>
  <si>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</si>
  <si>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</si>
  <si>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</si>
  <si>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</si>
  <si>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</si>
  <si>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</si>
  <si>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VA, VT, Auxílio Creche)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</si>
  <si>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</si>
  <si>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</si>
  <si>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</si>
  <si>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</si>
  <si>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</si>
  <si>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</si>
  <si>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</si>
  <si>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</si>
  <si>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</si>
  <si>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</si>
  <si>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</si>
  <si>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</si>
  <si>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</si>
  <si>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</si>
  <si>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sz val="28"/>
        <color rgb="FFFFFFFF"/>
        <rFont val="Calibri"/>
      </rPr>
      <t xml:space="preserve">CALCULO DO CUSTO EXCLUSIVO de </t>
    </r>
    <r>
      <rPr>
        <b/>
        <sz val="28"/>
        <color rgb="FFFFFFFF"/>
        <rFont val="Calibri"/>
      </rPr>
      <t>HORAS EXTRAS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</si>
  <si>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</si>
  <si>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</si>
  <si>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</si>
  <si>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</si>
  <si>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</si>
  <si>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</si>
  <si>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9"/>
        <color rgb="FF000000"/>
        <rFont val="Arial"/>
      </rPr>
      <t xml:space="preserve">Aviso Prévio Trabalhado  </t>
    </r>
    <r>
      <rPr>
        <b/>
        <sz val="9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9"/>
        <color rgb="FF0000FF"/>
        <rFont val="Arial"/>
      </rPr>
      <t xml:space="preserve">
CONFORME ACORDAO  TCU 1.186/2017 definiu NOTA TEC. 652/2017 - MP
 </t>
    </r>
    <r>
      <rPr>
        <b/>
        <u/>
        <sz val="9"/>
        <color rgb="FF0000FF"/>
        <rFont val="Arial"/>
      </rPr>
      <t xml:space="preserve">PERCENTUAL MAXIMO DE 1,94% </t>
    </r>
    <r>
      <rPr>
        <b/>
        <sz val="9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</si>
  <si>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</si>
  <si>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</si>
  <si>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</si>
  <si>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</si>
  <si>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</si>
  <si>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1"/>
        <color theme="1"/>
        <rFont val="Arial"/>
      </rPr>
      <t>Substituto na cobertura de Outras ausências (especificar)
Substituto na cobertura de Ausência por doença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 xml:space="preserve">(incluído)
</t>
    </r>
    <r>
      <rPr>
        <b/>
        <sz val="11"/>
        <color rgb="FFFF0000"/>
        <rFont val="Arial"/>
      </rPr>
      <t>Cálculo do valor = [(</t>
    </r>
    <r>
      <rPr>
        <b/>
        <sz val="11"/>
        <color rgb="FF0000FF"/>
        <rFont val="Arial"/>
      </rPr>
      <t>BCCPA</t>
    </r>
    <r>
      <rPr>
        <b/>
        <sz val="11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</si>
  <si>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</si>
  <si>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</si>
  <si>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</si>
  <si>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</si>
  <si>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</si>
  <si>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</si>
  <si>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</si>
  <si>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</si>
  <si>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</si>
  <si>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</si>
  <si>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</si>
  <si>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</si>
  <si>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</si>
  <si>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</si>
  <si>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</si>
  <si>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</t>
    </r>
    <r>
      <rPr>
        <b/>
        <sz val="10"/>
        <color rgb="FF980000"/>
        <rFont val="Arial"/>
      </rPr>
      <t xml:space="preserve">com </t>
    </r>
    <r>
      <rPr>
        <b/>
        <sz val="10"/>
        <color rgb="FFFF0000"/>
        <rFont val="Arial"/>
      </rPr>
      <t xml:space="preserve">Adicionais
</t>
    </r>
    <r>
      <rPr>
        <b/>
        <sz val="10"/>
        <color rgb="FF0000FF"/>
        <rFont val="Arial"/>
      </rPr>
      <t>HE ADIC NOTUR+ 20%</t>
    </r>
  </si>
  <si>
    <r>
      <rPr>
        <b/>
        <sz val="10"/>
        <color rgb="FFFF0000"/>
        <rFont val="Arial"/>
      </rPr>
      <t xml:space="preserve">Valor da hora NOTURNA REDUZIDA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</si>
  <si>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</si>
  <si>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</si>
  <si>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Salário-Base</t>
    </r>
    <r>
      <rPr>
        <sz val="10"/>
        <color rgb="FF0000FF"/>
        <rFont val="Arial"/>
      </rPr>
      <t xml:space="preserve"> ( DecRETO 12.174, de 11 de setembro de 2024, que estabeleceu a redução da jornada de trabalho semanal no serviço público de 44 (quarenta e quatro) para 40 (quarenta) horas semanais</t>
    </r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</si>
  <si>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</si>
  <si>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</si>
  <si>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</si>
  <si>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</si>
  <si>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</si>
  <si>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</si>
  <si>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</si>
  <si>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>Intervalo Intrajornada ((S</t>
    </r>
    <r>
      <rPr>
        <b/>
        <sz val="10"/>
        <color rgb="FFFF0000"/>
        <rFont val="Arial"/>
      </rPr>
      <t xml:space="preserve">alar /220h + 50% x 15 dias)*0,5 horas intrajornada
</t>
    </r>
    <r>
      <rPr>
        <b/>
        <sz val="10"/>
        <color theme="1"/>
        <rFont val="Arial"/>
      </rPr>
      <t xml:space="preserve"> Clausula 51 CCT Intrajornada deve ser de no mínimo  30min             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</si>
  <si>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</si>
  <si>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-</t>
    </r>
    <r>
      <rPr>
        <b/>
        <sz val="10"/>
        <color theme="1"/>
        <rFont val="Arial"/>
      </rPr>
      <t xml:space="preserve"> </t>
    </r>
    <r>
      <rPr>
        <b/>
        <i/>
        <u/>
        <sz val="10"/>
        <color rgb="FFFF0000"/>
        <rFont val="Arial"/>
      </rPr>
      <t>Cálculo do valor: Vlr HE  * 22d * 0,5hs (meio hora por dia/intervalo minimo)</t>
    </r>
    <r>
      <rPr>
        <b/>
        <sz val="10"/>
        <color theme="1"/>
        <rFont val="Arial"/>
      </rPr>
      <t xml:space="preserve">  (cláusula 51 da CCT )  
</t>
    </r>
    <r>
      <rPr>
        <b/>
        <sz val="10"/>
        <color rgb="FF980000"/>
        <rFont val="Arial"/>
      </rPr>
      <t xml:space="preserve">Sendo a mesma somente de carater indenizatório pelo funcionário ter como necessidade permanecer no posto durante o intervalo para refeição/descanso.
</t>
    </r>
    <r>
      <rPr>
        <b/>
        <sz val="10"/>
        <color rgb="FF0000FF"/>
        <rFont val="Arial"/>
      </rPr>
      <t>(observado que o PARECER SEI No 139/2024/MF pela CCT adotada não se entender como vinculante)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</si>
  <si>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</si>
  <si>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</si>
  <si>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</si>
  <si>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</si>
  <si>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</si>
  <si>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</si>
  <si>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</si>
  <si>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</si>
  <si>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</si>
  <si>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</si>
  <si>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</si>
  <si>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</si>
  <si>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</si>
  <si>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</si>
  <si>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</si>
  <si>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</si>
  <si>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</si>
  <si>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</si>
  <si>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</si>
  <si>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</si>
  <si>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</si>
  <si>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</si>
  <si>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</si>
  <si>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VA, VT, Auxílio Creche)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</si>
  <si>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</si>
  <si>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</si>
  <si>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</si>
  <si>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</si>
  <si>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</si>
  <si>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</si>
  <si>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</si>
  <si>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</si>
  <si>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</si>
  <si>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</si>
  <si>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</si>
  <si>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</si>
  <si>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</si>
  <si>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</si>
  <si>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sz val="28"/>
        <color rgb="FFFFFFFF"/>
        <rFont val="Calibri"/>
      </rPr>
      <t xml:space="preserve">CALCULO DO CUSTO EXCLUSIVO de </t>
    </r>
    <r>
      <rPr>
        <b/>
        <sz val="28"/>
        <color rgb="FFFFFFFF"/>
        <rFont val="Calibri"/>
      </rPr>
      <t>HORAS EXTRAS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</si>
  <si>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</si>
  <si>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</si>
  <si>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</si>
  <si>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</si>
  <si>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</si>
  <si>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 xml:space="preserve">GPS, FGTS e outras contribuições - HORAS EXTRAS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</si>
  <si>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</si>
  <si>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9"/>
        <color rgb="FF000000"/>
        <rFont val="Arial"/>
      </rPr>
      <t xml:space="preserve">Aviso Prévio Trabalhado  </t>
    </r>
    <r>
      <rPr>
        <b/>
        <sz val="9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9"/>
        <color rgb="FF0000FF"/>
        <rFont val="Arial"/>
      </rPr>
      <t xml:space="preserve">
CONFORME ACORDAO  TCU 1.186/2017 definiu NOTA TEC. 652/2017 - MP
 </t>
    </r>
    <r>
      <rPr>
        <b/>
        <u/>
        <sz val="9"/>
        <color rgb="FF0000FF"/>
        <rFont val="Arial"/>
      </rPr>
      <t xml:space="preserve">PERCENTUAL MAXIMO DE 1,94% </t>
    </r>
    <r>
      <rPr>
        <b/>
        <sz val="9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</si>
  <si>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</si>
  <si>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</si>
  <si>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</si>
  <si>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</si>
  <si>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</si>
  <si>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1"/>
        <color theme="1"/>
        <rFont val="Arial"/>
      </rPr>
      <t>Substituto na cobertura de Outras ausências (especificar)
Substituto na cobertura de Ausência por doença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 xml:space="preserve">(incluído)
</t>
    </r>
    <r>
      <rPr>
        <b/>
        <sz val="11"/>
        <color rgb="FFFF0000"/>
        <rFont val="Arial"/>
      </rPr>
      <t>Cálculo do valor = [(</t>
    </r>
    <r>
      <rPr>
        <b/>
        <sz val="11"/>
        <color rgb="FF0000FF"/>
        <rFont val="Arial"/>
      </rPr>
      <t>BCCPA</t>
    </r>
    <r>
      <rPr>
        <b/>
        <sz val="11"/>
        <color rgb="FFFF0000"/>
        <rFont val="Arial"/>
      </rPr>
      <t xml:space="preserve">)/30)x3dias]/12 
Incluído por permissão da IN Seges nº 5/2017, Anexo VII-B, item 1.7, alíneas "b" e "c".5.
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</si>
  <si>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</si>
  <si>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</si>
  <si>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</si>
  <si>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</si>
  <si>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</si>
  <si>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</si>
  <si>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</si>
  <si>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</si>
  <si>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</si>
  <si>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</si>
  <si>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</si>
  <si>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</si>
  <si>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</si>
  <si>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</si>
  <si>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</si>
  <si>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</si>
  <si>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</si>
  <si>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</si>
  <si>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</si>
  <si>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Salário-Base</t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</si>
  <si>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</si>
  <si>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</si>
  <si>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</si>
  <si>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</si>
  <si>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</si>
  <si>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</si>
  <si>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</si>
  <si>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</si>
  <si>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</si>
  <si>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</si>
  <si>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</si>
  <si>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</si>
  <si>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</si>
  <si>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</si>
  <si>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</si>
  <si>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</si>
  <si>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</si>
  <si>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</si>
  <si>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</si>
  <si>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</si>
  <si>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</si>
  <si>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</si>
  <si>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</si>
  <si>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</si>
  <si>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B.1) Valor do Auxílio-Alimentação</t>
    </r>
    <r>
      <rPr>
        <b/>
        <sz val="10"/>
        <color rgb="FF0000FF"/>
        <rFont val="Arial"/>
      </rPr>
      <t xml:space="preserve">  / VALE LANCE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</si>
  <si>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</si>
  <si>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</si>
  <si>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</si>
  <si>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</si>
  <si>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 xml:space="preserve">Plano de Beneficio Familiar 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</si>
  <si>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</si>
  <si>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</si>
  <si>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</si>
  <si>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</si>
  <si>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</si>
  <si>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VA, VT, Auxílio Creche)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</si>
  <si>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</si>
  <si>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</si>
  <si>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</si>
  <si>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</si>
  <si>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</si>
  <si>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</si>
  <si>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</si>
  <si>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</si>
  <si>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</si>
  <si>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</si>
  <si>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</si>
  <si>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</si>
  <si>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</si>
  <si>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</si>
  <si>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sz val="28"/>
        <color rgb="FFFFFFFF"/>
        <rFont val="Calibri"/>
      </rPr>
      <t xml:space="preserve">CALCULO DO CUSTO EXCLUSIVO de </t>
    </r>
    <r>
      <rPr>
        <b/>
        <sz val="28"/>
        <color rgb="FFFFFFFF"/>
        <rFont val="Calibri"/>
      </rPr>
      <t>HORAS EXTRAS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</si>
  <si>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</si>
  <si>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</si>
  <si>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</si>
  <si>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</si>
  <si>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</si>
  <si>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</si>
  <si>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9"/>
        <color rgb="FF000000"/>
        <rFont val="Arial"/>
      </rPr>
      <t xml:space="preserve">Aviso Prévio Trabalhado  </t>
    </r>
    <r>
      <rPr>
        <b/>
        <sz val="9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9"/>
        <color rgb="FF0000FF"/>
        <rFont val="Arial"/>
      </rPr>
      <t xml:space="preserve">
CONFORME ACORDAO  TCU 1.186/2017 definiu NOTA TEC. 652/2017 - MP
 </t>
    </r>
    <r>
      <rPr>
        <b/>
        <u/>
        <sz val="9"/>
        <color rgb="FF0000FF"/>
        <rFont val="Arial"/>
      </rPr>
      <t xml:space="preserve">PERCENTUAL MAXIMO DE 1,94% </t>
    </r>
    <r>
      <rPr>
        <b/>
        <sz val="9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</si>
  <si>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</si>
  <si>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</si>
  <si>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</si>
  <si>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</si>
  <si>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</si>
  <si>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1"/>
        <color theme="1"/>
        <rFont val="Arial"/>
      </rPr>
      <t>Substituto na cobertura de Outras ausências (especificar)
Substituto na cobertura de Ausência por doença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 xml:space="preserve">(incluído)
</t>
    </r>
    <r>
      <rPr>
        <b/>
        <sz val="11"/>
        <color rgb="FFFF0000"/>
        <rFont val="Arial"/>
      </rPr>
      <t>Cálculo do valor = [(</t>
    </r>
    <r>
      <rPr>
        <b/>
        <sz val="11"/>
        <color rgb="FF0000FF"/>
        <rFont val="Arial"/>
      </rPr>
      <t>BCCPA</t>
    </r>
    <r>
      <rPr>
        <b/>
        <sz val="11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</si>
  <si>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</si>
  <si>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</si>
  <si>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</si>
  <si>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</si>
  <si>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Custos Indiretos, Lucro e Tributos - DIÁRIAS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</si>
  <si>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</si>
  <si>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</si>
  <si>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</si>
  <si>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</si>
  <si>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</si>
  <si>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</si>
  <si>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>LIMITES ESTIMATIVOS FIXADOS PELA ADMINISTRAÇÃO 
 NAO HÁ COMEPTICAO NESTES ITENS (valor fixo)</t>
  </si>
  <si>
    <t xml:space="preserve">HORAS EXTRAS </t>
  </si>
  <si>
    <t>SOMA SIMPLES DO PREGAO</t>
  </si>
  <si>
    <t xml:space="preserve">MENSAGENS DE ANDAMENTO </t>
  </si>
  <si>
    <t>COMEÇANDO PROCESSO</t>
  </si>
  <si>
    <t xml:space="preserve">REALIZANDO COPIAS </t>
  </si>
  <si>
    <t>GRAVANDO VALORES</t>
  </si>
  <si>
    <t>EM ANDAMENTO</t>
  </si>
  <si>
    <t>REALIZANDO CALCULOS</t>
  </si>
  <si>
    <t>PACIENCIA</t>
  </si>
  <si>
    <t xml:space="preserve">QUASE </t>
  </si>
  <si>
    <t>AGUARDE</t>
  </si>
  <si>
    <t>PRONTO!</t>
  </si>
  <si>
    <t>TOTALIZADORES IFFar</t>
  </si>
  <si>
    <t>Selecione</t>
  </si>
  <si>
    <r>
      <rPr>
        <b/>
        <sz val="25"/>
        <color rgb="FF980000"/>
        <rFont val="Calibri"/>
      </rPr>
      <t>&lt;--- selecione "</t>
    </r>
    <r>
      <rPr>
        <b/>
        <sz val="28"/>
        <color rgb="FF980000"/>
        <rFont val="Calibri"/>
      </rPr>
      <t>executar</t>
    </r>
    <r>
      <rPr>
        <b/>
        <sz val="25"/>
        <color rgb="FF980000"/>
        <rFont val="Calibri"/>
      </rPr>
      <t>" para TOTAIS</t>
    </r>
  </si>
  <si>
    <t>,</t>
  </si>
  <si>
    <t>QUANTIDADE
DE 
POSTOS</t>
  </si>
  <si>
    <t>PESSOAS 
POR 
POSTO</t>
  </si>
  <si>
    <t>VALOR
por 
POSTO</t>
  </si>
  <si>
    <t xml:space="preserve">VALOR
itens posto
</t>
  </si>
  <si>
    <t>QUANTITATIV
ITEM
EM 12  MESES</t>
  </si>
  <si>
    <r>
      <rPr>
        <b/>
        <sz val="16"/>
        <color rgb="FF0000FF"/>
        <rFont val="Arial"/>
      </rPr>
      <t xml:space="preserve">VALOR
 por ITEM
</t>
    </r>
    <r>
      <rPr>
        <b/>
        <sz val="16"/>
        <color rgb="FF0000FF"/>
        <rFont val="Arial"/>
      </rPr>
      <t>VIGENCIA DO CONTRATO</t>
    </r>
    <r>
      <rPr>
        <b/>
        <sz val="16"/>
        <color rgb="FF0000FF"/>
        <rFont val="Arial"/>
      </rPr>
      <t xml:space="preserve">
</t>
    </r>
  </si>
  <si>
    <r>
      <rPr>
        <b/>
        <sz val="16"/>
        <color rgb="FF0000FF"/>
        <rFont val="Arial"/>
      </rPr>
      <t xml:space="preserve">soma ESTIMADA
 DOS ITENS </t>
    </r>
    <r>
      <rPr>
        <b/>
        <sz val="16"/>
        <color rgb="FF0000FF"/>
        <rFont val="Arial"/>
      </rPr>
      <t xml:space="preserve">vigencia do contrato </t>
    </r>
  </si>
  <si>
    <t>5162_20_CUIDADOR-de-ALUNOS_40h 
HORAS EXTRAS</t>
  </si>
  <si>
    <t>5162_20_CUIDADOR-de-ALUNOS_40h 
DIARIAS</t>
  </si>
  <si>
    <t xml:space="preserve">5162_20_CUIDADOR-de-ALUNOS_20h 
HORAS EXTRAS </t>
  </si>
  <si>
    <t xml:space="preserve">5162_20_CUIDADOR-de-ALUNOS_20h 
DIARIAS </t>
  </si>
  <si>
    <t>3341-05_INSTRUTOR-de-ALUNOS_40hs 
HORAS EXTRAS</t>
  </si>
  <si>
    <t>3341-05_INSTRUTOR-de-ALUNOS_40hs 
DIARIAS</t>
  </si>
  <si>
    <t>3341-05_INSTRUTOR-de-ALUNOS_20hs 
HORAS EXTRAS</t>
  </si>
  <si>
    <t>3341-05_INSTRUTOR-de-ALUNOS_20hs 
DIARIAS</t>
  </si>
  <si>
    <t>2394-25_PSICOPEGAGOGO_40h
HORAS EXTRAS</t>
  </si>
  <si>
    <t>2394-25_PSICOPEGAGOGO_40h
DIARIAS</t>
  </si>
  <si>
    <t>2394-25_PSICOPEGAGOGO_20h
HORAS EXTRAS</t>
  </si>
  <si>
    <t>2394-25_PSICOPEGAGOGO_20h
DIARIAS</t>
  </si>
  <si>
    <t>3341-10_MONITOR-de-ALUNOS_40h
HORAS EXTRAS</t>
  </si>
  <si>
    <t>3341-10_MONITOR-de-ALUNOS_40h
DIARIAS</t>
  </si>
  <si>
    <t>x</t>
  </si>
  <si>
    <t>+ SOMA GERAL POR CAMPI +</t>
  </si>
  <si>
    <t xml:space="preserve">POSTO </t>
  </si>
  <si>
    <t xml:space="preserve">VLR MENSAL </t>
  </si>
  <si>
    <t>VLR ANUAL</t>
  </si>
  <si>
    <t>VLR VIGENCIA</t>
  </si>
  <si>
    <t>UNIFORMES EPIs E INSUMOS, OPERADOR DE CALDEIRA</t>
  </si>
  <si>
    <t>Quantidade por colaborador, de acordo com período de reposição</t>
  </si>
  <si>
    <t>Item</t>
  </si>
  <si>
    <t>AUX</t>
  </si>
  <si>
    <t>Descrição</t>
  </si>
  <si>
    <t>Unid.</t>
  </si>
  <si>
    <t>Preço Médio</t>
  </si>
  <si>
    <r>
      <rPr>
        <b/>
        <sz val="11"/>
        <color theme="1"/>
        <rFont val="Calibri"/>
      </rPr>
      <t xml:space="preserve">Quantidade POR  </t>
    </r>
    <r>
      <rPr>
        <b/>
        <sz val="11"/>
        <color rgb="FFFFFF00"/>
        <rFont val="Calibri"/>
      </rPr>
      <t>COLABORADOR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</si>
  <si>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</si>
  <si>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</si>
  <si>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JORNADA
CONTRATADA</t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</si>
  <si>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</si>
  <si>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</si>
  <si>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</si>
  <si>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</si>
  <si>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</si>
  <si>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</si>
  <si>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</si>
  <si>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 xml:space="preserve">Adicional de função 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</si>
  <si>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</si>
  <si>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Noturno  sobre: 
a) 1h de 60min p/dia (Seg. a Sex.) - 1 h reduzida noturna p/dia</t>
    </r>
    <r>
      <rPr>
        <b/>
        <sz val="10"/>
        <color rgb="FF0000FF"/>
        <rFont val="Arial"/>
      </rPr>
      <t xml:space="preserve">  Das 22h às 23h       </t>
    </r>
    <r>
      <rPr>
        <b/>
        <sz val="10"/>
        <color theme="1"/>
        <rFont val="Arial"/>
      </rPr>
      <t xml:space="preserve">        
</t>
    </r>
    <r>
      <rPr>
        <b/>
        <sz val="10"/>
        <color rgb="FFFF0000"/>
        <rFont val="Arial"/>
      </rPr>
      <t xml:space="preserve">Cálculo do valor: AN = Vlr HN * 1,1428h x 22 d x 1 porteiro. 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</si>
  <si>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</si>
  <si>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</si>
  <si>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</si>
  <si>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</si>
  <si>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</si>
  <si>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</si>
  <si>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</si>
  <si>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</si>
  <si>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</si>
  <si>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</si>
  <si>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</si>
  <si>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</si>
  <si>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</si>
  <si>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</si>
  <si>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</si>
  <si>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</si>
  <si>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</si>
  <si>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</si>
  <si>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</si>
  <si>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</si>
  <si>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</si>
  <si>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>Auxílio-Refeição/Alimentação  /</t>
    </r>
    <r>
      <rPr>
        <b/>
        <sz val="10"/>
        <color rgb="FF0000FF"/>
        <rFont val="Arial"/>
      </rPr>
      <t xml:space="preserve"> VALE LANCE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</si>
  <si>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</si>
  <si>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</si>
  <si>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</si>
  <si>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Assistência Médica e Familiar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</si>
  <si>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</si>
  <si>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</si>
  <si>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</si>
  <si>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</si>
  <si>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</si>
  <si>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</si>
  <si>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</si>
  <si>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</si>
  <si>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</si>
  <si>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</si>
  <si>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</si>
  <si>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</si>
  <si>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</si>
  <si>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</si>
  <si>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</si>
  <si>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</si>
  <si>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</si>
  <si>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</si>
  <si>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</si>
  <si>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</si>
  <si>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3.  COMPLEMENTO DOS SERVIÇOS DE VIGILÂNCIA – VALOR MENSAL DOS SERVIÇOS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</si>
  <si>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</si>
  <si>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</si>
  <si>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>VALORES PARA DEMANDAS ESPORADICAS
(HORAS EXTRAORDINÁRIAS e DIÁRIAS DE VIAGEM)</t>
  </si>
  <si>
    <r>
      <rPr>
        <b/>
        <sz val="16"/>
        <color theme="1"/>
        <rFont val="Calibri, Arial"/>
      </rPr>
      <t xml:space="preserve">PLANILHA DE HORAS EXTRAS </t>
    </r>
    <r>
      <rPr>
        <b/>
        <sz val="16"/>
        <color theme="1"/>
        <rFont val="Calibri, Arial"/>
      </rPr>
      <t xml:space="preserve">
</t>
    </r>
    <r>
      <rPr>
        <b/>
        <sz val="16"/>
        <color rgb="FF980000"/>
        <rFont val="Calibri, Arial"/>
      </rPr>
      <t>(esporadicas)</t>
    </r>
  </si>
  <si>
    <t>(Composição)</t>
  </si>
  <si>
    <t>% do MODULO</t>
  </si>
  <si>
    <t>Valores Base 
por Modulo</t>
  </si>
  <si>
    <t>BASE HRS 
PLANILHA</t>
  </si>
  <si>
    <t>integral</t>
  </si>
  <si>
    <t>Submoldulos  2.1 + 2.2</t>
  </si>
  <si>
    <t>Nao faz parte calculo</t>
  </si>
  <si>
    <t>indice</t>
  </si>
  <si>
    <t>Vlr hora (esporadica)</t>
  </si>
  <si>
    <t>INFORMAR</t>
  </si>
  <si>
    <t>VALOR DEVIDO
INCUÍDAS HS REALIZADAS
(ESPORADICAS)</t>
  </si>
  <si>
    <t>DSR ( adicionado ao valor da hora nominal 20%
 (6 dias semana / 30 dias mes )</t>
  </si>
  <si>
    <t xml:space="preserve"> nº de horas
realizadas </t>
  </si>
  <si>
    <r>
      <rPr>
        <sz val="11"/>
        <color theme="1"/>
        <rFont val="Calibri, Arial"/>
      </rPr>
      <t xml:space="preserve">VAVLOR CALCULADO EM PLANILHA 
REMUNERAÇÃO para EMPRESA 
HIPOTESE HORARIOS EXTRAORDINARIOS
</t>
    </r>
    <r>
      <rPr>
        <b/>
        <sz val="11"/>
        <color rgb="FF980000"/>
        <rFont val="Calibri, Arial"/>
      </rPr>
      <t>(esporadicos)</t>
    </r>
  </si>
  <si>
    <t>Vlr da Hora Extra
NOTURNA</t>
  </si>
  <si>
    <t>Vlr da Hora Extra
 50%</t>
  </si>
  <si>
    <t>Vlr da Hora Extra 
100%</t>
  </si>
  <si>
    <t>Vlr Localidade - I</t>
  </si>
  <si>
    <t>Vlr Localidade - II</t>
  </si>
  <si>
    <t xml:space="preserve">Demais </t>
  </si>
  <si>
    <t xml:space="preserve">Vlr Demais </t>
  </si>
  <si>
    <t>DIARIAS
Decreto
11.117/22</t>
  </si>
  <si>
    <r>
      <rPr>
        <b/>
        <sz val="19"/>
        <color theme="1"/>
        <rFont val="Arial"/>
      </rPr>
      <t xml:space="preserve">VALOR </t>
    </r>
    <r>
      <rPr>
        <b/>
        <sz val="19"/>
        <color rgb="FF980000"/>
        <rFont val="Arial"/>
      </rPr>
      <t>mensal</t>
    </r>
    <r>
      <rPr>
        <b/>
        <sz val="19"/>
        <color theme="1"/>
        <rFont val="Arial"/>
      </rPr>
      <t xml:space="preserve"> DO CONTRATO
 (SE  ADICIONADAS "DEMANDAS ESPORADICAS"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</si>
  <si>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</si>
  <si>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</si>
  <si>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</si>
  <si>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</si>
  <si>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</si>
  <si>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</si>
  <si>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</si>
  <si>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</si>
  <si>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</si>
  <si>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
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</si>
  <si>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</si>
  <si>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rgb="FF000000"/>
        <rFont val="Arial"/>
      </rPr>
      <t xml:space="preserve">HS a 50% estimadas - Estimativ
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</si>
  <si>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>VALOR DA HORA extra
NORMAL</t>
    </r>
    <r>
      <rPr>
        <sz val="10"/>
        <color rgb="FF980000"/>
        <rFont val="Arial"/>
      </rPr>
      <t xml:space="preserve"> (sal / 220*1,5)</t>
    </r>
  </si>
  <si>
    <r>
      <rPr>
        <b/>
        <sz val="10"/>
        <color rgb="FF000000"/>
        <rFont val="Arial"/>
      </rPr>
      <t xml:space="preserve">Horas extras A 100%
</t>
    </r>
    <r>
      <rPr>
        <sz val="10"/>
        <color rgb="FF980000"/>
        <rFont val="Arial"/>
      </rPr>
      <t>(domingos e feriados)</t>
    </r>
  </si>
  <si>
    <r>
      <rPr>
        <b/>
        <sz val="10"/>
        <color rgb="FF000000"/>
        <rFont val="Arial"/>
      </rPr>
      <t xml:space="preserve">HS 100% estimadas - Estimativ
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</si>
  <si>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VALOR DA HORA
extra 100% 
(Domingos/feriados)
</t>
    </r>
    <r>
      <rPr>
        <sz val="10"/>
        <color rgb="FF980000"/>
        <rFont val="Arial"/>
      </rPr>
      <t>(sal / 220 * 2,00)</t>
    </r>
  </si>
  <si>
    <r>
      <rPr>
        <b/>
        <sz val="10"/>
        <color rgb="FF000000"/>
        <rFont val="Arial"/>
      </rPr>
      <t>Adicional Noturno  sobre: 
Quantidade de horas Noturnas NORMAIS</t>
    </r>
    <r>
      <rPr>
        <sz val="10"/>
        <color rgb="FF980000"/>
        <rFont val="Arial"/>
      </rPr>
      <t xml:space="preserve"> (noturnas) </t>
    </r>
  </si>
  <si>
    <r>
      <rPr>
        <b/>
        <sz val="10"/>
        <color rgb="FF000000"/>
        <rFont val="Arial"/>
      </rPr>
      <t xml:space="preserve">HS NORMAIS + reduzidas
Noturnas pagas como HE
</t>
    </r>
    <r>
      <rPr>
        <b/>
        <sz val="8"/>
        <color rgb="FFFF0000"/>
        <rFont val="Arial"/>
      </rPr>
      <t>(QUANT HORAS NOTUR * 1,142857</t>
    </r>
  </si>
  <si>
    <t>VALOR DA HORA
noturna REDUZDIA paga COMO EXTRA</t>
  </si>
  <si>
    <r>
      <rPr>
        <b/>
        <sz val="10"/>
        <color rgb="FF000000"/>
        <rFont val="Arial"/>
      </rPr>
      <t xml:space="preserve">HS a 50% estimadas - Estimativ
</t>
    </r>
    <r>
      <rPr>
        <b/>
        <sz val="10"/>
        <color rgb="FFFF0000"/>
        <rFont val="Arial"/>
      </rPr>
      <t>(mês)</t>
    </r>
  </si>
  <si>
    <t>VALOR DA HORA
NOTURNA PAGA COMO EXTRA</t>
  </si>
  <si>
    <r>
      <rPr>
        <b/>
        <sz val="10"/>
        <color rgb="FF000000"/>
        <rFont val="Arial"/>
      </rPr>
      <t xml:space="preserve">Horas A 100% - ADICIONAL NOTURNO
</t>
    </r>
    <r>
      <rPr>
        <sz val="10"/>
        <color rgb="FF980000"/>
        <rFont val="Arial"/>
      </rPr>
      <t>(domingos e feriados)</t>
    </r>
  </si>
  <si>
    <r>
      <rPr>
        <b/>
        <sz val="10"/>
        <color rgb="FF000000"/>
        <rFont val="Arial"/>
      </rPr>
      <t xml:space="preserve">HS 100% estimadas - Estimativ
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</si>
  <si>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 xml:space="preserve">Cálculo do valor: 20% sobre os adicionais pertinentes) 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</si>
  <si>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</si>
  <si>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</si>
  <si>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</si>
  <si>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</si>
  <si>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</si>
  <si>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</si>
  <si>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</si>
  <si>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</si>
  <si>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</si>
  <si>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</si>
  <si>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rgb="FF000000"/>
        <rFont val="Arial"/>
      </rPr>
      <t xml:space="preserve">Transporte  </t>
    </r>
    <r>
      <rPr>
        <b/>
        <sz val="10"/>
        <color rgb="FF000000"/>
        <rFont val="Arial"/>
      </rPr>
      <t>Cálculo do valor: [(n passag dia × vlr VT × n dias mês ) – (6%xSB)]</t>
    </r>
  </si>
  <si>
    <t>BC para Desconto (Sal Normativo)</t>
  </si>
  <si>
    <t>Desconto do VT
(parte empregado)</t>
  </si>
  <si>
    <t>Qtde de Passagens p/Dia</t>
  </si>
  <si>
    <t xml:space="preserve">Quantidade de dias de Trabalhados </t>
  </si>
  <si>
    <t>Vlr passagem transporte coletivo</t>
  </si>
  <si>
    <t>Custo do Transporte</t>
  </si>
  <si>
    <t>Alimentação quando fora da sede (Cláusula 10 CCT)</t>
  </si>
  <si>
    <t>Evento</t>
  </si>
  <si>
    <t>Estimativas adm. mês.</t>
  </si>
  <si>
    <t>Vlr  previstos em CCT</t>
  </si>
  <si>
    <t>Café</t>
  </si>
  <si>
    <t>Almoço</t>
  </si>
  <si>
    <t>Janta</t>
  </si>
  <si>
    <t xml:space="preserve">Cesta 
Basica </t>
  </si>
  <si>
    <t>Valor Cesta Basica na CCT/Premio assiduidade</t>
  </si>
  <si>
    <t xml:space="preserve">Cota parte Cesta Basica </t>
  </si>
  <si>
    <t>Vale Refeição</t>
  </si>
  <si>
    <t>Vale Alimentação</t>
  </si>
  <si>
    <r>
      <rPr>
        <sz val="11"/>
        <color rgb="FF000000"/>
        <rFont val="Calibri"/>
      </rPr>
      <t>Dias Trabalhados/Mês</t>
    </r>
    <r>
      <rPr>
        <b/>
        <sz val="11"/>
        <color rgb="FF000000"/>
        <rFont val="Calibri"/>
      </rPr>
      <t xml:space="preserve"> "22"</t>
    </r>
    <r>
      <rPr>
        <sz val="11"/>
        <color rgb="FF000000"/>
        <rFont val="Calibri"/>
      </rPr>
      <t xml:space="preserve"> ( diminuido do número de dias que o funcionário estiver em viagem fora da sede - CCT cl 10 paragrafo)</t>
    </r>
    <r>
      <rPr>
        <b/>
        <sz val="11"/>
        <color rgb="FF000000"/>
        <rFont val="Calibri"/>
      </rPr>
      <t xml:space="preserve"> Estimativa administracao</t>
    </r>
  </si>
  <si>
    <t>% de Desconto participação empregado</t>
  </si>
  <si>
    <r>
      <rPr>
        <b/>
        <sz val="10"/>
        <color theme="1"/>
        <rFont val="Arial"/>
      </rPr>
      <t xml:space="preserve">Seguro de Vida </t>
    </r>
    <r>
      <rPr>
        <b/>
        <sz val="9"/>
        <color theme="1"/>
        <rFont val="Arial"/>
      </rPr>
      <t>/ Aux Funeral / invalidez</t>
    </r>
  </si>
  <si>
    <t xml:space="preserve">Plano de Saúde - clausula 12 CCT </t>
  </si>
  <si>
    <t xml:space="preserve"> (valor estipulado por analogia a CCT de Santa Maria e Região)</t>
  </si>
  <si>
    <t>Plano de saude e cooparticipação percentual previsto CCT</t>
  </si>
  <si>
    <t>Valor descontado do Empregado</t>
  </si>
  <si>
    <t>Hospedagem</t>
  </si>
  <si>
    <t>Diária/Hospedagem - Clausula 10 CCT</t>
  </si>
  <si>
    <t>Numero de diárias/hospedagem previstas/mês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</si>
  <si>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</si>
  <si>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</si>
  <si>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</si>
  <si>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</si>
  <si>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</si>
  <si>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</si>
  <si>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</si>
  <si>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</si>
  <si>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</si>
  <si>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</si>
  <si>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</si>
  <si>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</si>
  <si>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</si>
  <si>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</si>
  <si>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</si>
  <si>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</si>
  <si>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</si>
  <si>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</si>
  <si>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</si>
  <si>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</si>
  <si>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</si>
  <si>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6"/>
        <color theme="1"/>
        <rFont val="Calibri, Arial"/>
      </rPr>
      <t xml:space="preserve">PLANILHA DE HORAS EXTRAS </t>
    </r>
    <r>
      <rPr>
        <b/>
        <sz val="16"/>
        <color theme="1"/>
        <rFont val="Calibri, Arial"/>
      </rPr>
      <t xml:space="preserve">
</t>
    </r>
    <r>
      <rPr>
        <b/>
        <sz val="16"/>
        <color rgb="FF980000"/>
        <rFont val="Calibri, Arial"/>
      </rPr>
      <t>(esporadicas)</t>
    </r>
  </si>
  <si>
    <r>
      <rPr>
        <sz val="11"/>
        <color theme="1"/>
        <rFont val="Calibri, Arial"/>
      </rPr>
      <t xml:space="preserve">VAVLOR CALCULADO EM PLANILHA 
REMUNERAÇÃO para EMPRESA 
HIPOTESE HORARIOS EXTRAORDINARIOS
</t>
    </r>
    <r>
      <rPr>
        <b/>
        <sz val="11"/>
        <color rgb="FF980000"/>
        <rFont val="Calibri, Arial"/>
      </rPr>
      <t>(esporadicos)</t>
    </r>
  </si>
  <si>
    <r>
      <rPr>
        <b/>
        <sz val="19"/>
        <color theme="1"/>
        <rFont val="Arial"/>
      </rPr>
      <t xml:space="preserve">VALOR </t>
    </r>
    <r>
      <rPr>
        <b/>
        <sz val="19"/>
        <color rgb="FF980000"/>
        <rFont val="Arial"/>
      </rPr>
      <t>mensal</t>
    </r>
    <r>
      <rPr>
        <b/>
        <sz val="19"/>
        <color theme="1"/>
        <rFont val="Arial"/>
      </rPr>
      <t xml:space="preserve"> DO CONTRATO
 (SE  ADICIONADAS "DEMANDAS ESPORADICAS"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</si>
  <si>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</si>
  <si>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</si>
  <si>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</si>
  <si>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</si>
  <si>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</si>
  <si>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</si>
  <si>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</si>
  <si>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</si>
  <si>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</si>
  <si>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VALOR SALARIO MÍNIMO NACIONAL (2022)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</si>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</sst>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#,##0.0"/>
    <numFmt numFmtId="170" formatCode="_-&quot;R$&quot;\ * #,##0.00_-;\-&quot;R$&quot;\ * #,##0.00_-;_-&quot;R$&quot;\ * &quot;-&quot;??_-;_-@"/>
    <numFmt numFmtId="171" formatCode="_-* #,##0.000_-;\-* #,##0.000_-;_-* &quot;-&quot;??.0_-;_-@"/>
    <numFmt numFmtId="172" formatCode="_-* #,##0.00_-;\-* #,##0.00_-;_-* &quot;-&quot;??_-;_-@"/>
    <numFmt numFmtId="173" formatCode="[$R$ -416]#,##0.00"/>
    <numFmt numFmtId="174" formatCode="&quot;R$ &quot;#,##0.00"/>
    <numFmt numFmtId="175" formatCode="0.000%"/>
    <numFmt numFmtId="176" formatCode="0.0000"/>
    <numFmt numFmtId="177" formatCode="0.0000%"/>
    <numFmt numFmtId="178" formatCode="_(* #,##0.00_);_(* \(#,##0.00\);_(* \-??_);_(@_)"/>
    <numFmt numFmtId="179" formatCode="d\.m"/>
    <numFmt numFmtId="180" formatCode="#,##0.0000"/>
    <numFmt numFmtId="181" formatCode="_-* #,##0.00_-;\-* #,##0.00_-;_-* &quot;-&quot;??.0_-;_-@"/>
    <numFmt numFmtId="182" formatCode="_-* #,##0_-;\-* #,##0_-;_-* &quot;-&quot;??_-;_-@"/>
    <numFmt numFmtId="183" formatCode="yyyy\-mm"/>
  </numFmts>
  <fonts count="332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42"/>
      <color theme="1"/>
      <name val="Calibri"/>
      <scheme val="minor"/>
    </font>
    <font>
      <sz val="35"/>
      <color theme="1"/>
      <name val="Calibri"/>
      <scheme val="minor"/>
    </font>
    <font>
      <sz val="11"/>
      <name val="Calibri"/>
    </font>
    <font>
      <b/>
      <sz val="15"/>
      <color rgb="FFFFFFFF"/>
      <name val="Calibri"/>
      <scheme val="minor"/>
    </font>
    <font>
      <sz val="42"/>
      <color rgb="FF000000"/>
      <name val="Calibri"/>
      <scheme val="minor"/>
    </font>
    <font>
      <b/>
      <sz val="32"/>
      <color rgb="FF6AA84F"/>
      <name val="Calibri"/>
      <scheme val="minor"/>
    </font>
    <font>
      <sz val="11"/>
      <color rgb="FF000000"/>
      <name val="Calibri"/>
    </font>
    <font>
      <b/>
      <u/>
      <sz val="14"/>
      <color rgb="FF980000"/>
      <name val="Calibri"/>
    </font>
    <font>
      <b/>
      <sz val="19"/>
      <color rgb="FFFFFFFF"/>
      <name val="Calibri"/>
    </font>
    <font>
      <sz val="29"/>
      <color rgb="FFFFFFFF"/>
      <name val="Calibri"/>
    </font>
    <font>
      <u/>
      <sz val="24"/>
      <color rgb="FF1155CC"/>
      <name val="Calibri"/>
    </font>
    <font>
      <sz val="24"/>
      <color rgb="FF000000"/>
      <name val="Calibri"/>
    </font>
    <font>
      <b/>
      <sz val="12"/>
      <color rgb="FF00B050"/>
      <name val="Calibri"/>
    </font>
    <font>
      <sz val="11"/>
      <color theme="1"/>
      <name val="Calibri"/>
    </font>
    <font>
      <sz val="23"/>
      <color rgb="FF980000"/>
      <name val="Calibri"/>
    </font>
    <font>
      <sz val="15"/>
      <color rgb="FFFFFF00"/>
      <name val="Calibri"/>
    </font>
    <font>
      <b/>
      <sz val="15"/>
      <color rgb="FF000000"/>
      <name val="Book Antiqua"/>
    </font>
    <font>
      <sz val="11"/>
      <color rgb="FFFFFFFF"/>
      <name val="Calibri"/>
    </font>
    <font>
      <b/>
      <sz val="15"/>
      <color rgb="FF00B050"/>
      <name val="Book Antiqua"/>
    </font>
    <font>
      <b/>
      <sz val="11"/>
      <color rgb="FF0070C0"/>
      <name val="Calibri"/>
    </font>
    <font>
      <b/>
      <sz val="12"/>
      <color rgb="FF000000"/>
      <name val="Calibri"/>
    </font>
    <font>
      <b/>
      <sz val="18"/>
      <color rgb="FFFFFFFF"/>
      <name val="Calibri"/>
    </font>
    <font>
      <b/>
      <sz val="18"/>
      <color theme="0"/>
      <name val="Calibri"/>
    </font>
    <font>
      <sz val="11"/>
      <color theme="0"/>
      <name val="Calibri"/>
    </font>
    <font>
      <b/>
      <sz val="20"/>
      <color rgb="FF000000"/>
      <name val="Calibri"/>
    </font>
    <font>
      <b/>
      <sz val="20"/>
      <color rgb="FF0070C0"/>
      <name val="Arial Narrow"/>
    </font>
    <font>
      <b/>
      <sz val="20"/>
      <color rgb="FFE36C09"/>
      <name val="Arial Narrow"/>
    </font>
    <font>
      <b/>
      <sz val="20"/>
      <color rgb="FFC00000"/>
      <name val="Calibri"/>
    </font>
    <font>
      <b/>
      <sz val="20"/>
      <color rgb="FFFFFFFF"/>
      <name val="Calibri"/>
    </font>
    <font>
      <b/>
      <sz val="20"/>
      <color theme="0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0"/>
      <color rgb="FF0000FF"/>
      <name val="Arial Narrow"/>
    </font>
    <font>
      <b/>
      <sz val="12"/>
      <color theme="1"/>
      <name val="Arial Narrow"/>
    </font>
    <font>
      <b/>
      <sz val="10"/>
      <color rgb="FFFF0000"/>
      <name val="Arial Narrow"/>
    </font>
    <font>
      <b/>
      <sz val="11"/>
      <color rgb="FF000000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sz val="11"/>
      <color rgb="FF000000"/>
      <name val="Calibri"/>
    </font>
    <font>
      <b/>
      <sz val="11"/>
      <color rgb="FF00B0F0"/>
      <name val="Calibri"/>
    </font>
    <font>
      <b/>
      <sz val="11"/>
      <color rgb="FF00B050"/>
      <name val="Calibri"/>
    </font>
    <font>
      <b/>
      <sz val="11"/>
      <color rgb="FF0000FF"/>
      <name val="Calibri"/>
    </font>
    <font>
      <b/>
      <sz val="11"/>
      <color rgb="FFE36C09"/>
      <name val="Calibri"/>
    </font>
    <font>
      <b/>
      <sz val="18"/>
      <color theme="1"/>
      <name val="Calibri"/>
    </font>
    <font>
      <b/>
      <sz val="13"/>
      <color rgb="FF000000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sz val="18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  <font>
      <b/>
      <sz val="12"/>
      <color rgb="FFFFFFFF"/>
      <name val="Calibri"/>
    </font>
    <font>
      <b/>
      <sz val="11"/>
      <color rgb="FFFFFFFF"/>
      <name val="Calibri"/>
    </font>
    <font>
      <b/>
      <sz val="11"/>
      <color theme="0"/>
      <name val="Calibri"/>
    </font>
    <font>
      <b/>
      <sz val="14"/>
      <color theme="0"/>
      <name val="Calibri"/>
    </font>
    <font>
      <sz val="12"/>
      <color rgb="FF666666"/>
      <name val="Calibri"/>
    </font>
    <font>
      <sz val="11"/>
      <color rgb="FF666666"/>
      <name val="Calibri"/>
    </font>
    <font>
      <b/>
      <sz val="11"/>
      <color rgb="FF666666"/>
      <name val="Calibri"/>
    </font>
    <font>
      <b/>
      <sz val="12"/>
      <color rgb="FF666666"/>
      <name val="Calibri"/>
    </font>
    <font>
      <sz val="18"/>
      <color rgb="FF000000"/>
      <name val="Calibri"/>
    </font>
    <font>
      <b/>
      <sz val="11"/>
      <color rgb="FF980000"/>
      <name val="Calibri"/>
    </font>
    <font>
      <b/>
      <sz val="12"/>
      <color theme="1"/>
      <name val="Calibri"/>
    </font>
    <font>
      <b/>
      <sz val="12"/>
      <color theme="0"/>
      <name val="Calibri"/>
    </font>
    <font>
      <b/>
      <sz val="16"/>
      <color theme="1"/>
      <name val="Calibri"/>
    </font>
    <font>
      <sz val="11"/>
      <color rgb="FF0000FF"/>
      <name val="Calibri"/>
    </font>
    <font>
      <b/>
      <sz val="18"/>
      <color rgb="FF00B050"/>
      <name val="Calibri"/>
    </font>
    <font>
      <sz val="18"/>
      <color rgb="FF980000"/>
      <name val="Calibri"/>
    </font>
    <font>
      <sz val="14"/>
      <color theme="0"/>
      <name val="Calibri"/>
    </font>
    <font>
      <b/>
      <sz val="12"/>
      <color rgb="FFFFFFFF"/>
      <name val="Merriweather"/>
    </font>
    <font>
      <b/>
      <sz val="15"/>
      <color rgb="FFFFFFFF"/>
      <name val="Merriweather"/>
    </font>
    <font>
      <sz val="11"/>
      <color rgb="FF980000"/>
      <name val="Calibri"/>
    </font>
    <font>
      <sz val="11"/>
      <color rgb="FF800000"/>
      <name val="Calibri"/>
    </font>
    <font>
      <sz val="11"/>
      <color rgb="FF000000"/>
      <name val="Calibri"/>
      <scheme val="minor"/>
    </font>
    <font>
      <sz val="11"/>
      <color rgb="FF00B050"/>
      <name val="Calibri"/>
    </font>
    <font>
      <sz val="11"/>
      <color rgb="FF0070C0"/>
      <name val="Calibri"/>
    </font>
    <font>
      <b/>
      <sz val="12"/>
      <color rgb="FF980000"/>
      <name val="Calibri"/>
    </font>
    <font>
      <b/>
      <sz val="16"/>
      <color rgb="FFFFFFFF"/>
      <name val="Calibri"/>
    </font>
    <font>
      <b/>
      <sz val="14"/>
      <color rgb="FF93C47D"/>
      <name val="Calibri"/>
    </font>
    <font>
      <sz val="13"/>
      <color rgb="FFFFFFFF"/>
      <name val="Calibri"/>
    </font>
    <font>
      <sz val="12"/>
      <color rgb="FF0070C0"/>
      <name val="Merriweather"/>
    </font>
    <font>
      <b/>
      <sz val="13"/>
      <color theme="1"/>
      <name val="Calibri"/>
    </font>
    <font>
      <sz val="11"/>
      <color theme="1"/>
      <name val="Arial"/>
    </font>
    <font>
      <b/>
      <sz val="14"/>
      <color rgb="FF980000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b/>
      <sz val="18"/>
      <color rgb="FF0070C0"/>
      <name val="Arial Narrow"/>
    </font>
    <font>
      <sz val="13"/>
      <color rgb="FFB7B7B7"/>
      <name val="Arial Narrow"/>
    </font>
    <font>
      <b/>
      <sz val="13"/>
      <color rgb="FFB7B7B7"/>
      <name val="Arial Narrow"/>
    </font>
    <font>
      <sz val="18"/>
      <color rgb="FFB7B7B7"/>
      <name val="Arial Narrow"/>
    </font>
    <font>
      <b/>
      <sz val="13"/>
      <color rgb="FF00B050"/>
      <name val="Arial Narrow"/>
    </font>
    <font>
      <sz val="13"/>
      <color rgb="FF00B050"/>
      <name val="Arial Narrow"/>
    </font>
    <font>
      <sz val="18"/>
      <color rgb="FF00B050"/>
      <name val="Arial Narrow"/>
    </font>
    <font>
      <b/>
      <sz val="13"/>
      <color rgb="FF980000"/>
      <name val="Arial Narrow"/>
    </font>
    <font>
      <sz val="13"/>
      <color rgb="FF980000"/>
      <name val="Arial Narrow"/>
    </font>
    <font>
      <sz val="18"/>
      <color rgb="FF000000"/>
      <name val="Arial Narrow"/>
    </font>
    <font>
      <b/>
      <sz val="16"/>
      <color rgb="FF00B050"/>
      <name val="Arial Narrow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8"/>
      <color rgb="FFFF0000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sz val="10"/>
      <color rgb="FFFFFFFF"/>
      <name val="Arial"/>
    </font>
    <font>
      <b/>
      <sz val="13"/>
      <color theme="1"/>
      <name val="Corrier"/>
    </font>
    <font>
      <b/>
      <sz val="14"/>
      <color rgb="FFC00000"/>
      <name val="Arial"/>
    </font>
    <font>
      <b/>
      <sz val="10"/>
      <color rgb="FFFFFFFF"/>
      <name val="Corrier"/>
    </font>
    <font>
      <b/>
      <sz val="18"/>
      <color theme="1"/>
      <name val="Arial"/>
    </font>
    <font>
      <sz val="14"/>
      <color theme="1"/>
      <name val="Arial"/>
    </font>
    <font>
      <b/>
      <sz val="20"/>
      <color theme="1"/>
      <name val="Arial"/>
    </font>
    <font>
      <b/>
      <sz val="10"/>
      <color rgb="FFFFFFFF"/>
      <name val="Arial"/>
    </font>
    <font>
      <b/>
      <sz val="10"/>
      <color theme="1"/>
      <name val="Corrier"/>
    </font>
    <font>
      <b/>
      <sz val="16"/>
      <color rgb="FF0000FF"/>
      <name val="Arial Narrow"/>
    </font>
    <font>
      <b/>
      <sz val="16"/>
      <color rgb="FFFFFFFF"/>
      <name val="Arial Narrow"/>
    </font>
    <font>
      <b/>
      <sz val="11"/>
      <color theme="1"/>
      <name val="Arial Narrow"/>
    </font>
    <font>
      <b/>
      <sz val="11"/>
      <color rgb="FFFFFFFF"/>
      <name val="Arial Narrow"/>
    </font>
    <font>
      <b/>
      <sz val="12"/>
      <color theme="1"/>
      <name val="Arial"/>
    </font>
    <font>
      <b/>
      <sz val="12"/>
      <color rgb="FFFFFFFF"/>
      <name val="Arial"/>
    </font>
    <font>
      <b/>
      <sz val="16"/>
      <color theme="1"/>
      <name val="Arial"/>
    </font>
    <font>
      <b/>
      <sz val="16"/>
      <color rgb="FFFFFFFF"/>
      <name val="Arial"/>
    </font>
    <font>
      <b/>
      <sz val="14"/>
      <color theme="1"/>
      <name val="Arial"/>
    </font>
    <font>
      <b/>
      <sz val="14"/>
      <color rgb="FFFFFFFF"/>
      <name val="Arial"/>
    </font>
    <font>
      <b/>
      <sz val="13"/>
      <color theme="1"/>
      <name val="Arial"/>
    </font>
    <font>
      <sz val="10"/>
      <color theme="0"/>
      <name val="Arial"/>
    </font>
    <font>
      <b/>
      <sz val="10"/>
      <color theme="0"/>
      <name val="Arial"/>
    </font>
    <font>
      <sz val="12"/>
      <color theme="1"/>
      <name val="Arial"/>
    </font>
    <font>
      <sz val="12"/>
      <color rgb="FFFFFFFF"/>
      <name val="Arial"/>
    </font>
    <font>
      <sz val="12"/>
      <color theme="0"/>
      <name val="Arial"/>
    </font>
    <font>
      <sz val="18"/>
      <color theme="1"/>
      <name val="Arial"/>
    </font>
    <font>
      <b/>
      <sz val="18"/>
      <color rgb="FFFFFFFF"/>
      <name val="Arial"/>
    </font>
    <font>
      <sz val="18"/>
      <color theme="0"/>
      <name val="Arial"/>
    </font>
    <font>
      <b/>
      <sz val="12"/>
      <color theme="0"/>
      <name val="Arial"/>
    </font>
    <font>
      <sz val="11"/>
      <color theme="1"/>
      <name val="Corrier"/>
    </font>
    <font>
      <sz val="11"/>
      <color rgb="FFFFFFFF"/>
      <name val="Corrier"/>
    </font>
    <font>
      <sz val="11"/>
      <color theme="0"/>
      <name val="Corrier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FF"/>
      <name val="Arial"/>
    </font>
    <font>
      <b/>
      <sz val="12"/>
      <color rgb="FFEFEFEF"/>
      <name val="Arial"/>
    </font>
    <font>
      <sz val="10"/>
      <color rgb="FF0000FF"/>
      <name val="Arial"/>
    </font>
    <font>
      <b/>
      <sz val="12"/>
      <color rgb="FF0000FF"/>
      <name val="Arial"/>
    </font>
    <font>
      <sz val="11"/>
      <color rgb="FF0000FF"/>
      <name val="Calibri"/>
      <scheme val="minor"/>
    </font>
    <font>
      <b/>
      <sz val="14"/>
      <color theme="0"/>
      <name val="Arial"/>
    </font>
    <font>
      <b/>
      <sz val="29"/>
      <color theme="1"/>
      <name val="Arial"/>
    </font>
    <font>
      <b/>
      <sz val="29"/>
      <color rgb="FFFFFFFF"/>
      <name val="Arial"/>
    </font>
    <font>
      <b/>
      <sz val="12"/>
      <color rgb="FF38761D"/>
      <name val="Arial"/>
    </font>
    <font>
      <b/>
      <sz val="14"/>
      <color rgb="FFFF0000"/>
      <name val="Arial"/>
    </font>
    <font>
      <b/>
      <sz val="10"/>
      <color theme="0"/>
      <name val="Corrier"/>
    </font>
    <font>
      <b/>
      <sz val="26"/>
      <color rgb="FF000000"/>
      <name val="Arial"/>
    </font>
    <font>
      <b/>
      <sz val="20"/>
      <color rgb="FFFFFFFF"/>
      <name val="Arial"/>
    </font>
    <font>
      <b/>
      <sz val="15"/>
      <color rgb="FFFFFFFF"/>
      <name val="Arial"/>
    </font>
    <font>
      <sz val="11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6"/>
      <color rgb="FFC00000"/>
      <name val="Calibri"/>
    </font>
    <font>
      <sz val="14"/>
      <color rgb="FF800000"/>
      <name val="Calibri"/>
    </font>
    <font>
      <b/>
      <sz val="16"/>
      <color rgb="FFC00000"/>
      <name val="Arial"/>
    </font>
    <font>
      <u/>
      <sz val="11"/>
      <color theme="10"/>
      <name val="Calibri"/>
    </font>
    <font>
      <u/>
      <sz val="11"/>
      <color theme="10"/>
      <name val="Calibri"/>
    </font>
    <font>
      <b/>
      <sz val="14"/>
      <color rgb="FF000000"/>
      <name val="Arial"/>
    </font>
    <font>
      <sz val="16"/>
      <color rgb="FF000000"/>
      <name val="Arial"/>
    </font>
    <font>
      <b/>
      <sz val="11"/>
      <color theme="1"/>
      <name val="Arial"/>
    </font>
    <font>
      <sz val="14"/>
      <color rgb="FF000000"/>
      <name val="Arial"/>
    </font>
    <font>
      <sz val="16"/>
      <color rgb="FF980000"/>
      <name val="Arial"/>
    </font>
    <font>
      <sz val="11"/>
      <color rgb="FF980000"/>
      <name val="Arial"/>
    </font>
    <font>
      <b/>
      <sz val="16"/>
      <color rgb="FFA5A5A5"/>
      <name val="Arial"/>
    </font>
    <font>
      <b/>
      <sz val="10"/>
      <color rgb="FFE36C09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sz val="10"/>
      <color rgb="FF980000"/>
      <name val="Arial"/>
    </font>
    <font>
      <sz val="9"/>
      <color theme="1"/>
      <name val="Arial"/>
    </font>
    <font>
      <b/>
      <sz val="11"/>
      <color rgb="FFFFFFFF"/>
      <name val="Arial"/>
    </font>
    <font>
      <b/>
      <sz val="15"/>
      <color rgb="FF800080"/>
      <name val="Arial"/>
    </font>
    <font>
      <b/>
      <sz val="15"/>
      <color rgb="FFFF0000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2"/>
      <color rgb="FFFF0000"/>
      <name val="Arial"/>
    </font>
    <font>
      <b/>
      <sz val="14"/>
      <color theme="1"/>
      <name val="Calibri"/>
    </font>
    <font>
      <b/>
      <sz val="9"/>
      <color rgb="FF0000FF"/>
      <name val="Arial"/>
    </font>
    <font>
      <sz val="8"/>
      <color theme="1"/>
      <name val="Arial"/>
    </font>
    <font>
      <b/>
      <sz val="15"/>
      <color rgb="FF000000"/>
      <name val="Arial"/>
    </font>
    <font>
      <b/>
      <sz val="14"/>
      <color rgb="FF980000"/>
      <name val="Arial"/>
    </font>
    <font>
      <sz val="9"/>
      <color rgb="FF000000"/>
      <name val="Arial"/>
    </font>
    <font>
      <b/>
      <strike/>
      <sz val="10"/>
      <color rgb="FFFF0000"/>
      <name val="Arial"/>
    </font>
    <font>
      <b/>
      <sz val="9"/>
      <color rgb="FFFF0000"/>
      <name val="Arial"/>
    </font>
    <font>
      <b/>
      <sz val="13"/>
      <color rgb="FF000000"/>
      <name val="Arial"/>
    </font>
    <font>
      <b/>
      <sz val="11"/>
      <color rgb="FF980000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b/>
      <sz val="11"/>
      <color rgb="FF00B050"/>
      <name val="Arial"/>
    </font>
    <font>
      <sz val="9"/>
      <color rgb="FF808000"/>
      <name val="Arial"/>
    </font>
    <font>
      <sz val="10"/>
      <color rgb="FFFF0000"/>
      <name val="Arial"/>
    </font>
    <font>
      <b/>
      <sz val="12"/>
      <color rgb="FF980000"/>
      <name val="Arial"/>
    </font>
    <font>
      <b/>
      <sz val="16"/>
      <color rgb="FF999999"/>
      <name val="Arial"/>
    </font>
    <font>
      <b/>
      <sz val="15"/>
      <color rgb="FF0000FF"/>
      <name val="Arial"/>
    </font>
    <font>
      <b/>
      <sz val="28"/>
      <color theme="1"/>
      <name val="Arial"/>
    </font>
    <font>
      <b/>
      <sz val="24"/>
      <color rgb="FF0000FF"/>
      <name val="Arial"/>
    </font>
    <font>
      <sz val="28"/>
      <color rgb="FFFFFFFF"/>
      <name val="Calibri"/>
      <scheme val="minor"/>
    </font>
    <font>
      <sz val="30"/>
      <color rgb="FFFFFFFF"/>
      <name val="Calibri"/>
      <scheme val="minor"/>
    </font>
    <font>
      <b/>
      <sz val="27"/>
      <color rgb="FFFFFFFF"/>
      <name val="Calibri"/>
      <scheme val="minor"/>
    </font>
    <font>
      <b/>
      <sz val="19"/>
      <color rgb="FF00FF00"/>
      <name val="Calibri"/>
      <scheme val="minor"/>
    </font>
    <font>
      <b/>
      <sz val="8"/>
      <color rgb="FF000000"/>
      <name val="Arial"/>
    </font>
    <font>
      <b/>
      <sz val="9"/>
      <color rgb="FF000000"/>
      <name val="Arial"/>
    </font>
    <font>
      <b/>
      <sz val="11"/>
      <color theme="1"/>
      <name val="Arial"/>
    </font>
    <font>
      <sz val="32"/>
      <color rgb="FFFFFFFF"/>
      <name val="Calibri"/>
      <scheme val="minor"/>
    </font>
    <font>
      <b/>
      <sz val="26"/>
      <color rgb="FFFFFFFF"/>
      <name val="Calibri"/>
      <scheme val="minor"/>
    </font>
    <font>
      <sz val="11"/>
      <color rgb="FF0000FF"/>
      <name val="Arial"/>
    </font>
    <font>
      <sz val="22"/>
      <color rgb="FF0000FF"/>
      <name val="Calibri"/>
    </font>
    <font>
      <sz val="22"/>
      <color rgb="FF00B050"/>
      <name val="Calibri"/>
    </font>
    <font>
      <b/>
      <sz val="11"/>
      <color rgb="FF1C4587"/>
      <name val="Arial"/>
    </font>
    <font>
      <sz val="22"/>
      <color rgb="FF1C4587"/>
      <name val="Calibri"/>
    </font>
    <font>
      <sz val="28"/>
      <color rgb="FF000000"/>
      <name val="Calibri"/>
    </font>
    <font>
      <b/>
      <sz val="25"/>
      <color theme="1"/>
      <name val="Arial"/>
    </font>
    <font>
      <sz val="11"/>
      <color rgb="FFFFFFFF"/>
      <name val="Calibri"/>
      <scheme val="minor"/>
    </font>
    <font>
      <b/>
      <sz val="19"/>
      <color theme="1"/>
      <name val="Arial"/>
    </font>
    <font>
      <b/>
      <sz val="19"/>
      <color rgb="FF000000"/>
      <name val="Calibri"/>
    </font>
    <font>
      <sz val="13"/>
      <color theme="1"/>
      <name val="Calibri"/>
      <scheme val="minor"/>
    </font>
    <font>
      <sz val="17"/>
      <color rgb="FFFFFFFF"/>
      <name val="Arial Narrow"/>
    </font>
    <font>
      <sz val="22"/>
      <color rgb="FFFFFFFF"/>
      <name val="Arial Narrow"/>
    </font>
    <font>
      <b/>
      <sz val="26"/>
      <color rgb="FFFFFFFF"/>
      <name val="Arial Narrow"/>
    </font>
    <font>
      <b/>
      <sz val="27"/>
      <color rgb="FFFFFFFF"/>
      <name val="Arial Narrow"/>
    </font>
    <font>
      <b/>
      <sz val="30"/>
      <color rgb="FFFFFFFF"/>
      <name val="Arial Narrow"/>
    </font>
    <font>
      <sz val="12"/>
      <color theme="1"/>
      <name val="&quot;Google Sans&quot;"/>
    </font>
    <font>
      <sz val="11"/>
      <color theme="1"/>
      <name val="&quot;Google Sans&quot;"/>
    </font>
    <font>
      <sz val="9"/>
      <color theme="1"/>
      <name val="&quot;Google Sans&quot;"/>
    </font>
    <font>
      <b/>
      <sz val="16"/>
      <color rgb="FF000000"/>
      <name val="Calibri"/>
    </font>
    <font>
      <b/>
      <sz val="13"/>
      <color rgb="FF0000FF"/>
      <name val="Arial"/>
    </font>
    <font>
      <b/>
      <sz val="11"/>
      <color rgb="FFFF0000"/>
      <name val="Arial"/>
    </font>
    <font>
      <b/>
      <sz val="16"/>
      <color rgb="FF0000FF"/>
      <name val="Arial"/>
    </font>
    <font>
      <sz val="26"/>
      <color rgb="FFFFFFFF"/>
      <name val="Calibri"/>
      <scheme val="minor"/>
    </font>
    <font>
      <sz val="9"/>
      <color rgb="FFF7981D"/>
      <name val="Calibri"/>
      <scheme val="minor"/>
    </font>
    <font>
      <b/>
      <sz val="13"/>
      <color rgb="FFFF0000"/>
      <name val="Arial"/>
    </font>
    <font>
      <b/>
      <sz val="22"/>
      <color rgb="FF980000"/>
      <name val="Calibri"/>
      <scheme val="minor"/>
    </font>
    <font>
      <sz val="14"/>
      <color theme="1"/>
      <name val="Calibri"/>
      <scheme val="minor"/>
    </font>
    <font>
      <b/>
      <sz val="17"/>
      <color theme="1"/>
      <name val="Calibri"/>
      <scheme val="minor"/>
    </font>
    <font>
      <b/>
      <sz val="11"/>
      <color theme="1"/>
      <name val="Calibri"/>
      <scheme val="minor"/>
    </font>
    <font>
      <b/>
      <sz val="16"/>
      <color theme="1"/>
      <name val="Calibri"/>
      <scheme val="minor"/>
    </font>
    <font>
      <b/>
      <sz val="14"/>
      <color theme="1"/>
      <name val="Calibri"/>
      <scheme val="minor"/>
    </font>
    <font>
      <sz val="17"/>
      <color theme="1"/>
      <name val="Calibri"/>
      <scheme val="minor"/>
    </font>
    <font>
      <b/>
      <sz val="15"/>
      <color theme="1"/>
      <name val="Calibri"/>
      <scheme val="minor"/>
    </font>
    <font>
      <sz val="14"/>
      <color rgb="FFFFFFFF"/>
      <name val="Calibri"/>
      <scheme val="minor"/>
    </font>
    <font>
      <b/>
      <sz val="20"/>
      <color rgb="FF980000"/>
      <name val="Calibri"/>
      <scheme val="minor"/>
    </font>
    <font>
      <b/>
      <sz val="11"/>
      <color rgb="FFFFFFFF"/>
      <name val="Calibri"/>
      <scheme val="minor"/>
    </font>
    <font>
      <b/>
      <sz val="13"/>
      <color rgb="FFFFFFFF"/>
      <name val="Calibri"/>
      <scheme val="minor"/>
    </font>
    <font>
      <b/>
      <sz val="13"/>
      <color rgb="FFFFFFFF"/>
      <name val="Calibri"/>
    </font>
    <font>
      <b/>
      <sz val="14"/>
      <color rgb="FFFFFFFF"/>
      <name val="Calibri"/>
      <scheme val="minor"/>
    </font>
    <font>
      <b/>
      <sz val="16"/>
      <color rgb="FFFFFFFF"/>
      <name val="Calibri"/>
      <scheme val="minor"/>
    </font>
    <font>
      <b/>
      <sz val="19"/>
      <color rgb="FFFFFFFF"/>
      <name val="Calibri"/>
      <scheme val="minor"/>
    </font>
    <font>
      <b/>
      <sz val="44"/>
      <color rgb="FF980000"/>
      <name val="Arial"/>
    </font>
    <font>
      <b/>
      <sz val="25"/>
      <color rgb="FF980000"/>
      <name val="Calibri"/>
      <scheme val="minor"/>
    </font>
    <font>
      <b/>
      <sz val="16"/>
      <color rgb="FF000000"/>
      <name val="Courier New"/>
    </font>
    <font>
      <sz val="18"/>
      <color rgb="FF38761D"/>
      <name val="Arial"/>
    </font>
    <font>
      <sz val="16"/>
      <color rgb="FF0000FF"/>
      <name val="Arial"/>
    </font>
    <font>
      <sz val="25"/>
      <color theme="1"/>
      <name val="Calibri"/>
    </font>
    <font>
      <sz val="28"/>
      <color theme="1"/>
      <name val="Arial Narrow"/>
    </font>
    <font>
      <b/>
      <sz val="28"/>
      <color theme="1"/>
      <name val="Arial Narrow"/>
    </font>
    <font>
      <b/>
      <sz val="24"/>
      <color rgb="FF000000"/>
      <name val="Arial"/>
    </font>
    <font>
      <b/>
      <sz val="28"/>
      <color rgb="FF000000"/>
      <name val="Arial Narrow"/>
    </font>
    <font>
      <sz val="11"/>
      <color rgb="FF999999"/>
      <name val="Calibri"/>
    </font>
    <font>
      <b/>
      <sz val="22"/>
      <color rgb="FF0000FF"/>
      <name val="Calibri"/>
      <scheme val="minor"/>
    </font>
    <font>
      <b/>
      <sz val="22"/>
      <color rgb="FF0000FF"/>
      <name val="Calibri"/>
    </font>
    <font>
      <b/>
      <sz val="15"/>
      <color rgb="FF0000FF"/>
      <name val="Calibri"/>
    </font>
    <font>
      <sz val="15"/>
      <color rgb="FF0000FF"/>
      <name val="Calibri"/>
      <scheme val="minor"/>
    </font>
    <font>
      <sz val="11"/>
      <color rgb="FF6AA84F"/>
      <name val="Calibri"/>
    </font>
    <font>
      <sz val="11"/>
      <color rgb="FF6AA84F"/>
      <name val="Calibri"/>
      <scheme val="minor"/>
    </font>
    <font>
      <sz val="15"/>
      <color rgb="FF6AA84F"/>
      <name val="Calibri"/>
      <scheme val="minor"/>
    </font>
    <font>
      <b/>
      <sz val="15"/>
      <color rgb="FF6AA84F"/>
      <name val="Calibri"/>
    </font>
    <font>
      <b/>
      <sz val="19"/>
      <color rgb="FF000000"/>
      <name val="Arial"/>
    </font>
    <font>
      <b/>
      <sz val="21"/>
      <color rgb="FF000000"/>
      <name val="Arial"/>
    </font>
    <font>
      <sz val="19"/>
      <color theme="1"/>
      <name val="Calibri"/>
      <scheme val="minor"/>
    </font>
    <font>
      <b/>
      <sz val="14"/>
      <color theme="1"/>
      <name val="Times New Roman"/>
    </font>
    <font>
      <sz val="12"/>
      <color theme="1"/>
      <name val="Times New Roman"/>
    </font>
    <font>
      <b/>
      <sz val="12"/>
      <color rgb="FFFF0000"/>
      <name val="Times New Roman"/>
    </font>
    <font>
      <b/>
      <sz val="11"/>
      <color rgb="FFFF0000"/>
      <name val="Arial"/>
    </font>
    <font>
      <b/>
      <sz val="21"/>
      <color theme="1"/>
      <name val="Calibri"/>
    </font>
    <font>
      <sz val="19"/>
      <color theme="1"/>
      <name val="Calibri"/>
    </font>
    <font>
      <sz val="13"/>
      <color theme="1"/>
      <name val="Calibri"/>
    </font>
    <font>
      <sz val="27"/>
      <color theme="1"/>
      <name val="Calibri"/>
    </font>
    <font>
      <b/>
      <sz val="13"/>
      <color rgb="FF000000"/>
      <name val="&quot;Arial&quot;"/>
    </font>
    <font>
      <sz val="13"/>
      <color rgb="FF000000"/>
      <name val="Arial"/>
    </font>
    <font>
      <b/>
      <i/>
      <u/>
      <sz val="11"/>
      <color theme="1"/>
      <name val="Calibri"/>
    </font>
    <font>
      <b/>
      <i/>
      <u/>
      <sz val="11"/>
      <color theme="1"/>
      <name val="Calibri"/>
    </font>
    <font>
      <sz val="14"/>
      <color theme="1"/>
      <name val="Calibri"/>
    </font>
    <font>
      <sz val="13"/>
      <color rgb="FF980000"/>
      <name val="Arial"/>
    </font>
    <font>
      <b/>
      <sz val="10"/>
      <color rgb="FF980000"/>
      <name val="Arial"/>
    </font>
    <font>
      <sz val="28"/>
      <color theme="1"/>
      <name val="Calibri"/>
    </font>
    <font>
      <sz val="35"/>
      <color theme="1"/>
      <name val="Calibri"/>
    </font>
    <font>
      <sz val="15"/>
      <color rgb="FF980000"/>
      <name val="Calibri"/>
    </font>
    <font>
      <b/>
      <sz val="32"/>
      <color rgb="FF6AA84F"/>
      <name val="Calibri"/>
    </font>
    <font>
      <sz val="15"/>
      <color rgb="FF6AA84F"/>
      <name val="Calibri"/>
    </font>
    <font>
      <b/>
      <sz val="12"/>
      <color rgb="FF6AA84F"/>
      <name val="Calibri"/>
    </font>
    <font>
      <b/>
      <sz val="16"/>
      <color rgb="FF980000"/>
      <name val="Arial"/>
    </font>
    <font>
      <b/>
      <sz val="12"/>
      <color rgb="FF00B0F0"/>
      <name val="Arial"/>
    </font>
    <font>
      <b/>
      <sz val="11"/>
      <color rgb="FF0070C0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z val="10"/>
      <color rgb="FF00B05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u/>
      <sz val="10"/>
      <color rgb="FF0000FF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  <font>
      <sz val="28"/>
      <color rgb="FFFFFFFF"/>
      <name val="Calibri"/>
    </font>
    <font>
      <b/>
      <sz val="28"/>
      <color rgb="FFFFFFFF"/>
      <name val="Calibri"/>
    </font>
    <font>
      <b/>
      <u/>
      <sz val="9"/>
      <color rgb="FF0000FF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b/>
      <i/>
      <u/>
      <sz val="10"/>
      <color rgb="FFFF0000"/>
      <name val="Arial"/>
    </font>
    <font>
      <b/>
      <sz val="10"/>
      <color rgb="FF0070C0"/>
      <name val="Arial"/>
    </font>
    <font>
      <b/>
      <sz val="10"/>
      <color rgb="FFC00000"/>
      <name val="Arial"/>
    </font>
    <font>
      <b/>
      <sz val="9"/>
      <color theme="1"/>
      <name val="Arial"/>
    </font>
    <font>
      <b/>
      <sz val="25"/>
      <color rgb="FF980000"/>
      <name val="Calibri"/>
    </font>
    <font>
      <b/>
      <sz val="28"/>
      <color rgb="FF980000"/>
      <name val="Calibri"/>
    </font>
    <font>
      <b/>
      <sz val="11"/>
      <color rgb="FFFFFF00"/>
      <name val="Calibri"/>
    </font>
    <font>
      <b/>
      <sz val="16"/>
      <color theme="1"/>
      <name val="Calibri, Arial"/>
    </font>
    <font>
      <b/>
      <sz val="16"/>
      <color rgb="FF980000"/>
      <name val="Calibri, Arial"/>
    </font>
    <font>
      <sz val="11"/>
      <color theme="1"/>
      <name val="Calibri, Arial"/>
    </font>
    <font>
      <b/>
      <sz val="11"/>
      <color rgb="FF980000"/>
      <name val="Calibri, Arial"/>
    </font>
    <font>
      <b/>
      <sz val="19"/>
      <color rgb="FF980000"/>
      <name val="Arial"/>
    </font>
  </fonts>
  <fills count="42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F2CC"/>
        <bgColor rgb="FFFFF2CC"/>
      </patternFill>
    </fill>
    <fill>
      <patternFill patternType="solid">
        <fgColor rgb="FFC3FB25"/>
        <bgColor rgb="FFC3FB25"/>
      </patternFill>
    </fill>
    <fill>
      <patternFill patternType="solid">
        <fgColor rgb="FFEDF3E7"/>
        <bgColor rgb="FFEDF3E7"/>
      </patternFill>
    </fill>
    <fill>
      <patternFill patternType="solid">
        <fgColor rgb="FFE0F2F1"/>
        <bgColor rgb="FFE0F2F1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00FFFF"/>
        <bgColor rgb="FF00FFFF"/>
      </patternFill>
    </fill>
    <fill>
      <patternFill patternType="solid">
        <fgColor rgb="FFCFE2F3"/>
        <bgColor rgb="FFCFE2F3"/>
      </patternFill>
    </fill>
    <fill>
      <patternFill patternType="solid">
        <fgColor rgb="FFCC4125"/>
        <bgColor rgb="FFCC4125"/>
      </patternFill>
    </fill>
    <fill>
      <patternFill patternType="solid">
        <fgColor rgb="FF980000"/>
        <bgColor rgb="FF980000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E6B8AF"/>
        <bgColor rgb="FFE6B8AF"/>
      </patternFill>
    </fill>
    <fill>
      <patternFill patternType="solid">
        <fgColor rgb="FFD9EAD3"/>
        <bgColor rgb="FFD9EAD3"/>
      </patternFill>
    </fill>
    <fill>
      <patternFill patternType="solid">
        <fgColor rgb="FFD99594"/>
        <bgColor rgb="FFD9959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BF9000"/>
        <bgColor rgb="FFBF9000"/>
      </patternFill>
    </fill>
    <fill>
      <patternFill patternType="solid">
        <fgColor rgb="FFBDBDBD"/>
        <bgColor rgb="FFBDBDBD"/>
      </patternFill>
    </fill>
    <fill>
      <patternFill patternType="solid">
        <fgColor rgb="FF6D9EEB"/>
        <bgColor rgb="FF6D9EEB"/>
      </patternFill>
    </fill>
    <fill>
      <patternFill patternType="solid">
        <fgColor rgb="FFB7B7B7"/>
        <bgColor rgb="FFB7B7B7"/>
      </patternFill>
    </fill>
    <fill>
      <patternFill patternType="solid">
        <fgColor rgb="FFFFFF99"/>
        <bgColor rgb="FFFFFF99"/>
      </patternFill>
    </fill>
    <fill>
      <patternFill patternType="solid">
        <fgColor rgb="FFD6E3BC"/>
        <bgColor rgb="FFD6E3BC"/>
      </patternFill>
    </fill>
    <fill>
      <patternFill patternType="solid">
        <fgColor rgb="FF00FF00"/>
        <bgColor rgb="FF00FF00"/>
      </patternFill>
    </fill>
    <fill>
      <patternFill patternType="solid">
        <fgColor rgb="FFA4C2F4"/>
        <bgColor rgb="FFA4C2F4"/>
      </patternFill>
    </fill>
    <fill>
      <patternFill patternType="solid">
        <fgColor rgb="FF008000"/>
        <bgColor rgb="FF008000"/>
      </patternFill>
    </fill>
    <fill>
      <patternFill patternType="solid">
        <fgColor rgb="FF999999"/>
        <bgColor rgb="FF999999"/>
      </patternFill>
    </fill>
    <fill>
      <patternFill patternType="solid">
        <fgColor rgb="FFEBF1DE"/>
        <bgColor rgb="FFEBF1DE"/>
      </patternFill>
    </fill>
  </fills>
  <borders count="211">
    <border>
      <left/>
      <right/>
      <top/>
      <bottom/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>
      <left/>
      <right/>
      <top style="thick">
        <color rgb="FF0000FF"/>
      </top>
      <bottom style="thick">
        <color rgb="FF0000FF"/>
      </bottom>
      <diagonal/>
    </border>
    <border>
      <left/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dotted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980000"/>
      </left>
      <right style="thin">
        <color rgb="FF000000"/>
      </right>
      <top style="thin">
        <color rgb="FF980000"/>
      </top>
      <bottom style="thin">
        <color rgb="FF980000"/>
      </bottom>
      <diagonal/>
    </border>
    <border>
      <left style="thin">
        <color rgb="FF000000"/>
      </left>
      <right/>
      <top style="thin">
        <color rgb="FF980000"/>
      </top>
      <bottom style="thin">
        <color rgb="FF980000"/>
      </bottom>
      <diagonal/>
    </border>
    <border>
      <left/>
      <right/>
      <top style="thin">
        <color rgb="FF980000"/>
      </top>
      <bottom style="thin">
        <color rgb="FF980000"/>
      </bottom>
      <diagonal/>
    </border>
    <border>
      <left/>
      <right style="thin">
        <color rgb="FF000000"/>
      </right>
      <top style="thin">
        <color rgb="FF980000"/>
      </top>
      <bottom style="thin">
        <color rgb="FF980000"/>
      </bottom>
      <diagonal/>
    </border>
    <border>
      <left/>
      <right style="thin">
        <color rgb="FF980000"/>
      </right>
      <top style="thin">
        <color rgb="FF980000"/>
      </top>
      <bottom style="thin">
        <color rgb="FF98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FFFFFF"/>
      </bottom>
      <diagonal/>
    </border>
    <border>
      <left/>
      <right/>
      <top style="thin">
        <color rgb="FFFFFFFF"/>
      </top>
      <bottom style="medium">
        <color rgb="FFFFFFFF"/>
      </bottom>
      <diagonal/>
    </border>
    <border>
      <left/>
      <right style="thin">
        <color rgb="FFFFFFFF"/>
      </right>
      <top style="thin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ck">
        <color rgb="FF00FF00"/>
      </left>
      <right style="thick">
        <color rgb="FF00FF00"/>
      </right>
      <top style="thick">
        <color rgb="FF00FF00"/>
      </top>
      <bottom/>
      <diagonal/>
    </border>
    <border>
      <left style="thick">
        <color rgb="FF38761D"/>
      </left>
      <right style="thin">
        <color rgb="FF000000"/>
      </right>
      <top style="thick">
        <color rgb="FF38761D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38761D"/>
      </top>
      <bottom style="thin">
        <color rgb="FF000000"/>
      </bottom>
      <diagonal/>
    </border>
    <border>
      <left style="thick">
        <color rgb="FF00FF00"/>
      </left>
      <right style="thick">
        <color rgb="FF00FF00"/>
      </right>
      <top style="thin">
        <color rgb="FF000000"/>
      </top>
      <bottom style="thin">
        <color rgb="FF000000"/>
      </bottom>
      <diagonal/>
    </border>
    <border>
      <left style="thick">
        <color rgb="FF38761D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38761D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FF00"/>
      </left>
      <right style="thick">
        <color rgb="FF00FF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38761D"/>
      </left>
      <right style="thin">
        <color rgb="FF000000"/>
      </right>
      <top/>
      <bottom/>
      <diagonal/>
    </border>
    <border>
      <left style="thick">
        <color rgb="FF00FF00"/>
      </left>
      <right style="thick">
        <color rgb="FF00FF00"/>
      </right>
      <top style="thin">
        <color rgb="FF000000"/>
      </top>
      <bottom/>
      <diagonal/>
    </border>
    <border>
      <left style="thick">
        <color rgb="FF38761D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ck">
        <color rgb="FF980000"/>
      </top>
      <bottom style="thick">
        <color rgb="FFFF0000"/>
      </bottom>
      <diagonal/>
    </border>
    <border>
      <left style="thick">
        <color rgb="FF38761D"/>
      </left>
      <right style="thin">
        <color rgb="FF000000"/>
      </right>
      <top style="thick">
        <color rgb="FF98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ck">
        <color rgb="FF980000"/>
      </top>
      <bottom style="thick">
        <color rgb="FFFF0000"/>
      </bottom>
      <diagonal/>
    </border>
    <border>
      <left style="thick">
        <color rgb="FF00FF00"/>
      </left>
      <right style="thick">
        <color rgb="FF00FF00"/>
      </right>
      <top style="thick">
        <color rgb="FF980000"/>
      </top>
      <bottom style="thick">
        <color rgb="FFFF0000"/>
      </bottom>
      <diagonal/>
    </border>
    <border>
      <left/>
      <right style="thin">
        <color rgb="FF000000"/>
      </right>
      <top style="thick">
        <color rgb="FF980000"/>
      </top>
      <bottom style="thick">
        <color rgb="FFFF0000"/>
      </bottom>
      <diagonal/>
    </border>
    <border>
      <left style="thick">
        <color rgb="FF38761D"/>
      </left>
      <right/>
      <top/>
      <bottom/>
      <diagonal/>
    </border>
    <border>
      <left style="thick">
        <color rgb="FF00FF00"/>
      </left>
      <right style="thick">
        <color rgb="FF00FF00"/>
      </right>
      <top/>
      <bottom/>
      <diagonal/>
    </border>
    <border>
      <left style="thick">
        <color rgb="FF00FF00"/>
      </left>
      <right style="thick">
        <color rgb="FF00FF00"/>
      </right>
      <top style="thick">
        <color rgb="FF980000"/>
      </top>
      <bottom style="thick">
        <color rgb="FF00FF00"/>
      </bottom>
      <diagonal/>
    </border>
    <border>
      <left style="dotted">
        <color rgb="FF93C47D"/>
      </left>
      <right/>
      <top/>
      <bottom/>
      <diagonal/>
    </border>
    <border>
      <left style="medium">
        <color rgb="FF93C47D"/>
      </left>
      <right/>
      <top/>
      <bottom/>
      <diagonal/>
    </border>
    <border>
      <left style="medium">
        <color rgb="FF93C47D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91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4" borderId="1" xfId="0" applyFont="1" applyFill="1" applyBorder="1"/>
    <xf numFmtId="0" fontId="2" fillId="5" borderId="4" xfId="0" applyFont="1" applyFill="1" applyBorder="1"/>
    <xf numFmtId="0" fontId="5" fillId="5" borderId="5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6" borderId="4" xfId="0" applyFont="1" applyFill="1" applyBorder="1"/>
    <xf numFmtId="0" fontId="1" fillId="6" borderId="6" xfId="0" applyFont="1" applyFill="1" applyBorder="1" applyAlignment="1">
      <alignment vertical="center"/>
    </xf>
    <xf numFmtId="0" fontId="5" fillId="6" borderId="5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6" fillId="7" borderId="7" xfId="0" applyFont="1" applyFill="1" applyBorder="1"/>
    <xf numFmtId="0" fontId="1" fillId="8" borderId="0" xfId="0" applyFont="1" applyFill="1"/>
    <xf numFmtId="0" fontId="8" fillId="0" borderId="0" xfId="0" applyFont="1"/>
    <xf numFmtId="0" fontId="10" fillId="9" borderId="13" xfId="0" applyFont="1" applyFill="1" applyBorder="1"/>
    <xf numFmtId="0" fontId="11" fillId="9" borderId="13" xfId="0" applyFont="1" applyFill="1" applyBorder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9" borderId="13" xfId="0" applyFont="1" applyFill="1" applyBorder="1"/>
    <xf numFmtId="0" fontId="16" fillId="10" borderId="13" xfId="0" applyFont="1" applyFill="1" applyBorder="1"/>
    <xf numFmtId="0" fontId="17" fillId="9" borderId="13" xfId="0" applyFont="1" applyFill="1" applyBorder="1" applyAlignment="1">
      <alignment vertical="center"/>
    </xf>
    <xf numFmtId="0" fontId="18" fillId="0" borderId="0" xfId="0" applyFont="1" applyAlignment="1">
      <alignment horizontal="center"/>
    </xf>
    <xf numFmtId="0" fontId="19" fillId="9" borderId="14" xfId="0" applyFont="1" applyFill="1" applyBorder="1" applyAlignment="1">
      <alignment horizontal="center" vertical="center"/>
    </xf>
    <xf numFmtId="0" fontId="15" fillId="9" borderId="14" xfId="0" applyFont="1" applyFill="1" applyBorder="1"/>
    <xf numFmtId="0" fontId="20" fillId="0" borderId="0" xfId="0" applyFont="1" applyAlignment="1">
      <alignment horizontal="center"/>
    </xf>
    <xf numFmtId="0" fontId="18" fillId="10" borderId="13" xfId="0" applyFont="1" applyFill="1" applyBorder="1" applyAlignment="1">
      <alignment horizontal="center"/>
    </xf>
    <xf numFmtId="0" fontId="22" fillId="11" borderId="18" xfId="0" applyFont="1" applyFill="1" applyBorder="1" applyAlignment="1">
      <alignment vertical="center"/>
    </xf>
    <xf numFmtId="0" fontId="15" fillId="0" borderId="19" xfId="0" applyFont="1" applyBorder="1"/>
    <xf numFmtId="0" fontId="25" fillId="3" borderId="13" xfId="0" applyFont="1" applyFill="1" applyBorder="1"/>
    <xf numFmtId="0" fontId="26" fillId="0" borderId="0" xfId="0" applyFont="1" applyAlignment="1">
      <alignment vertical="center"/>
    </xf>
    <xf numFmtId="0" fontId="30" fillId="3" borderId="12" xfId="0" applyFont="1" applyFill="1" applyBorder="1" applyAlignment="1">
      <alignment vertical="center"/>
    </xf>
    <xf numFmtId="0" fontId="31" fillId="3" borderId="13" xfId="0" applyFont="1" applyFill="1" applyBorder="1" applyAlignment="1">
      <alignment vertical="center"/>
    </xf>
    <xf numFmtId="0" fontId="32" fillId="12" borderId="31" xfId="0" applyFont="1" applyFill="1" applyBorder="1" applyAlignment="1">
      <alignment horizontal="center" vertical="center" textRotation="90" wrapText="1"/>
    </xf>
    <xf numFmtId="0" fontId="35" fillId="12" borderId="13" xfId="0" applyFont="1" applyFill="1" applyBorder="1" applyAlignment="1">
      <alignment horizontal="center" vertical="center" wrapText="1"/>
    </xf>
    <xf numFmtId="0" fontId="32" fillId="12" borderId="13" xfId="0" applyFont="1" applyFill="1" applyBorder="1" applyAlignment="1">
      <alignment horizontal="center" vertical="center" textRotation="90" wrapText="1"/>
    </xf>
    <xf numFmtId="0" fontId="38" fillId="13" borderId="31" xfId="0" applyFont="1" applyFill="1" applyBorder="1" applyAlignment="1">
      <alignment horizontal="center" vertical="center" textRotation="90" wrapText="1"/>
    </xf>
    <xf numFmtId="0" fontId="39" fillId="13" borderId="13" xfId="0" applyFont="1" applyFill="1" applyBorder="1" applyAlignment="1">
      <alignment horizontal="center" vertical="center" wrapText="1"/>
    </xf>
    <xf numFmtId="0" fontId="38" fillId="13" borderId="13" xfId="0" applyFont="1" applyFill="1" applyBorder="1" applyAlignment="1">
      <alignment horizontal="center" vertical="center" textRotation="90" wrapText="1"/>
    </xf>
    <xf numFmtId="0" fontId="38" fillId="12" borderId="31" xfId="0" applyFont="1" applyFill="1" applyBorder="1" applyAlignment="1">
      <alignment horizontal="center" vertical="center" textRotation="90" wrapText="1"/>
    </xf>
    <xf numFmtId="0" fontId="39" fillId="12" borderId="13" xfId="0" applyFont="1" applyFill="1" applyBorder="1" applyAlignment="1">
      <alignment horizontal="center" vertical="center" wrapText="1"/>
    </xf>
    <xf numFmtId="0" fontId="38" fillId="14" borderId="31" xfId="0" applyFont="1" applyFill="1" applyBorder="1" applyAlignment="1">
      <alignment horizontal="center" vertical="center" textRotation="90" wrapText="1"/>
    </xf>
    <xf numFmtId="0" fontId="39" fillId="14" borderId="13" xfId="0" applyFont="1" applyFill="1" applyBorder="1" applyAlignment="1">
      <alignment horizontal="center" vertical="center" wrapText="1"/>
    </xf>
    <xf numFmtId="0" fontId="38" fillId="15" borderId="31" xfId="0" applyFont="1" applyFill="1" applyBorder="1" applyAlignment="1">
      <alignment horizontal="center" vertical="center" textRotation="90" wrapText="1"/>
    </xf>
    <xf numFmtId="0" fontId="39" fillId="15" borderId="13" xfId="0" applyFont="1" applyFill="1" applyBorder="1" applyAlignment="1">
      <alignment horizontal="center" vertical="center" wrapText="1"/>
    </xf>
    <xf numFmtId="0" fontId="38" fillId="3" borderId="31" xfId="0" applyFont="1" applyFill="1" applyBorder="1" applyAlignment="1">
      <alignment horizontal="center" vertical="center" textRotation="90" wrapText="1"/>
    </xf>
    <xf numFmtId="0" fontId="39" fillId="3" borderId="36" xfId="0" applyFont="1" applyFill="1" applyBorder="1" applyAlignment="1">
      <alignment horizontal="center" vertical="center" wrapText="1"/>
    </xf>
    <xf numFmtId="0" fontId="39" fillId="3" borderId="13" xfId="0" applyFont="1" applyFill="1" applyBorder="1" applyAlignment="1">
      <alignment horizontal="center" vertical="center" wrapText="1"/>
    </xf>
    <xf numFmtId="0" fontId="14" fillId="12" borderId="44" xfId="0" applyFont="1" applyFill="1" applyBorder="1" applyAlignment="1">
      <alignment horizontal="center" vertical="center"/>
    </xf>
    <xf numFmtId="0" fontId="40" fillId="12" borderId="47" xfId="0" applyFont="1" applyFill="1" applyBorder="1" applyAlignment="1">
      <alignment wrapText="1"/>
    </xf>
    <xf numFmtId="0" fontId="8" fillId="12" borderId="48" xfId="0" applyFont="1" applyFill="1" applyBorder="1" applyAlignment="1">
      <alignment horizontal="center"/>
    </xf>
    <xf numFmtId="0" fontId="43" fillId="12" borderId="47" xfId="0" applyFont="1" applyFill="1" applyBorder="1" applyAlignment="1">
      <alignment horizontal="center" wrapText="1"/>
    </xf>
    <xf numFmtId="0" fontId="22" fillId="12" borderId="13" xfId="0" applyFont="1" applyFill="1" applyBorder="1"/>
    <xf numFmtId="0" fontId="14" fillId="12" borderId="50" xfId="0" applyFont="1" applyFill="1" applyBorder="1" applyAlignment="1">
      <alignment horizontal="center" vertical="center"/>
    </xf>
    <xf numFmtId="0" fontId="22" fillId="13" borderId="44" xfId="0" applyFont="1" applyFill="1" applyBorder="1" applyAlignment="1">
      <alignment horizontal="center" vertical="center"/>
    </xf>
    <xf numFmtId="0" fontId="8" fillId="13" borderId="47" xfId="0" applyFont="1" applyFill="1" applyBorder="1"/>
    <xf numFmtId="0" fontId="8" fillId="13" borderId="48" xfId="0" applyFont="1" applyFill="1" applyBorder="1" applyAlignment="1">
      <alignment horizontal="center"/>
    </xf>
    <xf numFmtId="0" fontId="40" fillId="13" borderId="47" xfId="0" applyFont="1" applyFill="1" applyBorder="1" applyAlignment="1">
      <alignment horizontal="center" wrapText="1"/>
    </xf>
    <xf numFmtId="0" fontId="8" fillId="13" borderId="13" xfId="0" applyFont="1" applyFill="1" applyBorder="1"/>
    <xf numFmtId="0" fontId="22" fillId="13" borderId="50" xfId="0" applyFont="1" applyFill="1" applyBorder="1" applyAlignment="1">
      <alignment horizontal="center" vertical="center"/>
    </xf>
    <xf numFmtId="0" fontId="22" fillId="12" borderId="44" xfId="0" applyFont="1" applyFill="1" applyBorder="1" applyAlignment="1">
      <alignment horizontal="center" vertical="center"/>
    </xf>
    <xf numFmtId="0" fontId="8" fillId="12" borderId="47" xfId="0" applyFont="1" applyFill="1" applyBorder="1"/>
    <xf numFmtId="0" fontId="40" fillId="12" borderId="47" xfId="0" applyFont="1" applyFill="1" applyBorder="1" applyAlignment="1">
      <alignment horizontal="center" wrapText="1"/>
    </xf>
    <xf numFmtId="0" fontId="8" fillId="12" borderId="13" xfId="0" applyFont="1" applyFill="1" applyBorder="1"/>
    <xf numFmtId="0" fontId="22" fillId="14" borderId="44" xfId="0" applyFont="1" applyFill="1" applyBorder="1" applyAlignment="1">
      <alignment horizontal="center" vertical="center"/>
    </xf>
    <xf numFmtId="0" fontId="8" fillId="14" borderId="47" xfId="0" applyFont="1" applyFill="1" applyBorder="1"/>
    <xf numFmtId="0" fontId="8" fillId="14" borderId="48" xfId="0" applyFont="1" applyFill="1" applyBorder="1" applyAlignment="1">
      <alignment horizontal="center"/>
    </xf>
    <xf numFmtId="0" fontId="40" fillId="14" borderId="47" xfId="0" applyFont="1" applyFill="1" applyBorder="1" applyAlignment="1">
      <alignment horizontal="center" wrapText="1"/>
    </xf>
    <xf numFmtId="0" fontId="8" fillId="14" borderId="13" xfId="0" applyFont="1" applyFill="1" applyBorder="1"/>
    <xf numFmtId="0" fontId="22" fillId="15" borderId="44" xfId="0" applyFont="1" applyFill="1" applyBorder="1" applyAlignment="1">
      <alignment horizontal="center" vertical="center"/>
    </xf>
    <xf numFmtId="0" fontId="8" fillId="15" borderId="47" xfId="0" applyFont="1" applyFill="1" applyBorder="1"/>
    <xf numFmtId="0" fontId="8" fillId="15" borderId="48" xfId="0" applyFont="1" applyFill="1" applyBorder="1" applyAlignment="1">
      <alignment horizontal="center"/>
    </xf>
    <xf numFmtId="0" fontId="40" fillId="15" borderId="47" xfId="0" applyFont="1" applyFill="1" applyBorder="1" applyAlignment="1">
      <alignment horizontal="center" wrapText="1"/>
    </xf>
    <xf numFmtId="0" fontId="8" fillId="15" borderId="13" xfId="0" applyFont="1" applyFill="1" applyBorder="1"/>
    <xf numFmtId="0" fontId="22" fillId="3" borderId="44" xfId="0" applyFont="1" applyFill="1" applyBorder="1" applyAlignment="1">
      <alignment horizontal="center" vertical="center"/>
    </xf>
    <xf numFmtId="0" fontId="8" fillId="3" borderId="47" xfId="0" applyFont="1" applyFill="1" applyBorder="1"/>
    <xf numFmtId="0" fontId="8" fillId="3" borderId="48" xfId="0" applyFont="1" applyFill="1" applyBorder="1" applyAlignment="1">
      <alignment horizontal="center"/>
    </xf>
    <xf numFmtId="0" fontId="40" fillId="3" borderId="47" xfId="0" applyFont="1" applyFill="1" applyBorder="1" applyAlignment="1">
      <alignment horizontal="center" wrapText="1"/>
    </xf>
    <xf numFmtId="0" fontId="8" fillId="3" borderId="13" xfId="0" applyFont="1" applyFill="1" applyBorder="1"/>
    <xf numFmtId="0" fontId="39" fillId="3" borderId="49" xfId="0" applyFont="1" applyFill="1" applyBorder="1" applyAlignment="1">
      <alignment horizontal="center" vertical="center" wrapText="1"/>
    </xf>
    <xf numFmtId="0" fontId="14" fillId="12" borderId="54" xfId="0" applyFont="1" applyFill="1" applyBorder="1" applyAlignment="1">
      <alignment horizontal="center" vertical="center"/>
    </xf>
    <xf numFmtId="0" fontId="8" fillId="12" borderId="57" xfId="0" applyFont="1" applyFill="1" applyBorder="1" applyAlignment="1">
      <alignment horizontal="center"/>
    </xf>
    <xf numFmtId="0" fontId="43" fillId="12" borderId="54" xfId="0" applyFont="1" applyFill="1" applyBorder="1" applyAlignment="1">
      <alignment horizontal="center" wrapText="1"/>
    </xf>
    <xf numFmtId="0" fontId="22" fillId="12" borderId="14" xfId="0" applyFont="1" applyFill="1" applyBorder="1"/>
    <xf numFmtId="0" fontId="14" fillId="12" borderId="57" xfId="0" applyFont="1" applyFill="1" applyBorder="1" applyAlignment="1">
      <alignment horizontal="center" vertical="center"/>
    </xf>
    <xf numFmtId="0" fontId="22" fillId="13" borderId="54" xfId="0" applyFont="1" applyFill="1" applyBorder="1" applyAlignment="1">
      <alignment horizontal="center" vertical="center"/>
    </xf>
    <xf numFmtId="0" fontId="40" fillId="13" borderId="47" xfId="0" applyFont="1" applyFill="1" applyBorder="1"/>
    <xf numFmtId="0" fontId="8" fillId="13" borderId="57" xfId="0" applyFont="1" applyFill="1" applyBorder="1" applyAlignment="1">
      <alignment horizontal="center"/>
    </xf>
    <xf numFmtId="0" fontId="40" fillId="13" borderId="54" xfId="0" applyFont="1" applyFill="1" applyBorder="1" applyAlignment="1">
      <alignment horizontal="center" wrapText="1"/>
    </xf>
    <xf numFmtId="0" fontId="8" fillId="13" borderId="14" xfId="0" applyFont="1" applyFill="1" applyBorder="1"/>
    <xf numFmtId="0" fontId="22" fillId="13" borderId="57" xfId="0" applyFont="1" applyFill="1" applyBorder="1" applyAlignment="1">
      <alignment horizontal="center" vertical="center"/>
    </xf>
    <xf numFmtId="0" fontId="22" fillId="12" borderId="62" xfId="0" applyFont="1" applyFill="1" applyBorder="1" applyAlignment="1">
      <alignment horizontal="center" vertical="center"/>
    </xf>
    <xf numFmtId="0" fontId="40" fillId="12" borderId="54" xfId="0" applyFont="1" applyFill="1" applyBorder="1" applyAlignment="1">
      <alignment horizontal="center" wrapText="1"/>
    </xf>
    <xf numFmtId="0" fontId="8" fillId="12" borderId="14" xfId="0" applyFont="1" applyFill="1" applyBorder="1"/>
    <xf numFmtId="0" fontId="22" fillId="12" borderId="54" xfId="0" applyFont="1" applyFill="1" applyBorder="1" applyAlignment="1">
      <alignment horizontal="center" vertical="center"/>
    </xf>
    <xf numFmtId="0" fontId="22" fillId="14" borderId="54" xfId="0" applyFont="1" applyFill="1" applyBorder="1" applyAlignment="1">
      <alignment horizontal="center" vertical="center"/>
    </xf>
    <xf numFmtId="0" fontId="8" fillId="14" borderId="57" xfId="0" applyFont="1" applyFill="1" applyBorder="1" applyAlignment="1">
      <alignment horizontal="center"/>
    </xf>
    <xf numFmtId="0" fontId="40" fillId="14" borderId="54" xfId="0" applyFont="1" applyFill="1" applyBorder="1" applyAlignment="1">
      <alignment horizontal="center" wrapText="1"/>
    </xf>
    <xf numFmtId="0" fontId="8" fillId="14" borderId="14" xfId="0" applyFont="1" applyFill="1" applyBorder="1"/>
    <xf numFmtId="0" fontId="22" fillId="15" borderId="54" xfId="0" applyFont="1" applyFill="1" applyBorder="1" applyAlignment="1">
      <alignment horizontal="center" vertical="center"/>
    </xf>
    <xf numFmtId="0" fontId="8" fillId="15" borderId="57" xfId="0" applyFont="1" applyFill="1" applyBorder="1" applyAlignment="1">
      <alignment horizontal="center"/>
    </xf>
    <xf numFmtId="0" fontId="40" fillId="15" borderId="54" xfId="0" applyFont="1" applyFill="1" applyBorder="1" applyAlignment="1">
      <alignment horizontal="center" wrapText="1"/>
    </xf>
    <xf numFmtId="0" fontId="8" fillId="15" borderId="14" xfId="0" applyFont="1" applyFill="1" applyBorder="1"/>
    <xf numFmtId="0" fontId="22" fillId="3" borderId="54" xfId="0" applyFont="1" applyFill="1" applyBorder="1" applyAlignment="1">
      <alignment horizontal="center" vertical="center"/>
    </xf>
    <xf numFmtId="0" fontId="8" fillId="3" borderId="62" xfId="0" applyFont="1" applyFill="1" applyBorder="1"/>
    <xf numFmtId="0" fontId="8" fillId="3" borderId="57" xfId="0" applyFont="1" applyFill="1" applyBorder="1" applyAlignment="1">
      <alignment horizontal="center"/>
    </xf>
    <xf numFmtId="0" fontId="40" fillId="3" borderId="54" xfId="0" applyFont="1" applyFill="1" applyBorder="1" applyAlignment="1">
      <alignment horizontal="center" wrapText="1"/>
    </xf>
    <xf numFmtId="0" fontId="8" fillId="3" borderId="14" xfId="0" applyFont="1" applyFill="1" applyBorder="1"/>
    <xf numFmtId="0" fontId="40" fillId="0" borderId="0" xfId="0" applyFont="1"/>
    <xf numFmtId="0" fontId="21" fillId="0" borderId="63" xfId="0" applyFont="1" applyBorder="1" applyAlignment="1">
      <alignment horizontal="center"/>
    </xf>
    <xf numFmtId="0" fontId="21" fillId="0" borderId="63" xfId="0" applyFont="1" applyBorder="1" applyAlignment="1">
      <alignment vertical="center"/>
    </xf>
    <xf numFmtId="4" fontId="44" fillId="3" borderId="64" xfId="0" applyNumberFormat="1" applyFont="1" applyFill="1" applyBorder="1" applyAlignment="1">
      <alignment horizontal="center"/>
    </xf>
    <xf numFmtId="4" fontId="44" fillId="10" borderId="65" xfId="0" applyNumberFormat="1" applyFont="1" applyFill="1" applyBorder="1" applyAlignment="1">
      <alignment horizontal="center"/>
    </xf>
    <xf numFmtId="0" fontId="45" fillId="12" borderId="66" xfId="0" applyFont="1" applyFill="1" applyBorder="1" applyAlignment="1">
      <alignment horizontal="center"/>
    </xf>
    <xf numFmtId="0" fontId="22" fillId="12" borderId="66" xfId="0" applyFont="1" applyFill="1" applyBorder="1" applyAlignment="1">
      <alignment horizontal="center" vertical="center"/>
    </xf>
    <xf numFmtId="0" fontId="46" fillId="12" borderId="14" xfId="0" applyFont="1" applyFill="1" applyBorder="1" applyAlignment="1">
      <alignment horizontal="center"/>
    </xf>
    <xf numFmtId="4" fontId="46" fillId="12" borderId="54" xfId="0" applyNumberFormat="1" applyFont="1" applyFill="1" applyBorder="1" applyAlignment="1">
      <alignment horizontal="center"/>
    </xf>
    <xf numFmtId="10" fontId="8" fillId="12" borderId="54" xfId="0" applyNumberFormat="1" applyFont="1" applyFill="1" applyBorder="1" applyAlignment="1">
      <alignment horizontal="center"/>
    </xf>
    <xf numFmtId="10" fontId="40" fillId="12" borderId="54" xfId="0" applyNumberFormat="1" applyFont="1" applyFill="1" applyBorder="1" applyAlignment="1">
      <alignment horizontal="center"/>
    </xf>
    <xf numFmtId="49" fontId="40" fillId="12" borderId="57" xfId="0" applyNumberFormat="1" applyFont="1" applyFill="1" applyBorder="1" applyAlignment="1">
      <alignment horizontal="center" wrapText="1"/>
    </xf>
    <xf numFmtId="3" fontId="47" fillId="12" borderId="66" xfId="0" applyNumberFormat="1" applyFont="1" applyFill="1" applyBorder="1" applyAlignment="1">
      <alignment horizontal="center" wrapText="1"/>
    </xf>
    <xf numFmtId="2" fontId="43" fillId="12" borderId="14" xfId="0" applyNumberFormat="1" applyFont="1" applyFill="1" applyBorder="1" applyAlignment="1">
      <alignment horizontal="center"/>
    </xf>
    <xf numFmtId="0" fontId="22" fillId="12" borderId="14" xfId="0" applyFont="1" applyFill="1" applyBorder="1" applyAlignment="1">
      <alignment horizontal="center"/>
    </xf>
    <xf numFmtId="0" fontId="40" fillId="12" borderId="14" xfId="0" applyFont="1" applyFill="1" applyBorder="1" applyAlignment="1">
      <alignment horizontal="center"/>
    </xf>
    <xf numFmtId="0" fontId="48" fillId="12" borderId="14" xfId="0" applyFont="1" applyFill="1" applyBorder="1" applyAlignment="1">
      <alignment horizontal="center"/>
    </xf>
    <xf numFmtId="0" fontId="26" fillId="12" borderId="67" xfId="0" applyFont="1" applyFill="1" applyBorder="1" applyAlignment="1">
      <alignment horizontal="center"/>
    </xf>
    <xf numFmtId="0" fontId="49" fillId="13" borderId="68" xfId="0" applyFont="1" applyFill="1" applyBorder="1" applyAlignment="1">
      <alignment horizontal="center" vertical="center"/>
    </xf>
    <xf numFmtId="0" fontId="50" fillId="13" borderId="66" xfId="0" applyFont="1" applyFill="1" applyBorder="1" applyAlignment="1">
      <alignment horizontal="center" vertical="center"/>
    </xf>
    <xf numFmtId="0" fontId="51" fillId="13" borderId="14" xfId="0" applyFont="1" applyFill="1" applyBorder="1" applyAlignment="1">
      <alignment horizontal="center"/>
    </xf>
    <xf numFmtId="4" fontId="51" fillId="13" borderId="54" xfId="0" applyNumberFormat="1" applyFont="1" applyFill="1" applyBorder="1" applyAlignment="1">
      <alignment horizontal="center"/>
    </xf>
    <xf numFmtId="10" fontId="8" fillId="13" borderId="54" xfId="0" applyNumberFormat="1" applyFont="1" applyFill="1" applyBorder="1" applyAlignment="1">
      <alignment horizontal="center"/>
    </xf>
    <xf numFmtId="49" fontId="40" fillId="13" borderId="57" xfId="0" applyNumberFormat="1" applyFont="1" applyFill="1" applyBorder="1" applyAlignment="1">
      <alignment horizontal="center" wrapText="1"/>
    </xf>
    <xf numFmtId="3" fontId="8" fillId="13" borderId="66" xfId="0" applyNumberFormat="1" applyFont="1" applyFill="1" applyBorder="1" applyAlignment="1">
      <alignment horizontal="center" wrapText="1"/>
    </xf>
    <xf numFmtId="2" fontId="43" fillId="13" borderId="14" xfId="0" applyNumberFormat="1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40" fillId="13" borderId="14" xfId="0" applyFont="1" applyFill="1" applyBorder="1" applyAlignment="1">
      <alignment horizontal="center"/>
    </xf>
    <xf numFmtId="0" fontId="8" fillId="13" borderId="14" xfId="0" applyFont="1" applyFill="1" applyBorder="1" applyAlignment="1">
      <alignment horizontal="center"/>
    </xf>
    <xf numFmtId="0" fontId="26" fillId="13" borderId="67" xfId="0" applyFont="1" applyFill="1" applyBorder="1" applyAlignment="1">
      <alignment horizontal="center"/>
    </xf>
    <xf numFmtId="0" fontId="49" fillId="12" borderId="66" xfId="0" applyFont="1" applyFill="1" applyBorder="1" applyAlignment="1">
      <alignment horizontal="center" vertical="center"/>
    </xf>
    <xf numFmtId="0" fontId="50" fillId="12" borderId="66" xfId="0" applyFont="1" applyFill="1" applyBorder="1" applyAlignment="1">
      <alignment horizontal="center" vertical="center"/>
    </xf>
    <xf numFmtId="0" fontId="8" fillId="12" borderId="14" xfId="0" applyFont="1" applyFill="1" applyBorder="1" applyAlignment="1">
      <alignment horizontal="center"/>
    </xf>
    <xf numFmtId="4" fontId="8" fillId="12" borderId="14" xfId="0" applyNumberFormat="1" applyFont="1" applyFill="1" applyBorder="1" applyAlignment="1">
      <alignment horizontal="center"/>
    </xf>
    <xf numFmtId="3" fontId="8" fillId="12" borderId="66" xfId="0" applyNumberFormat="1" applyFont="1" applyFill="1" applyBorder="1" applyAlignment="1">
      <alignment horizontal="center" wrapText="1"/>
    </xf>
    <xf numFmtId="0" fontId="8" fillId="12" borderId="69" xfId="0" applyFont="1" applyFill="1" applyBorder="1" applyAlignment="1">
      <alignment horizontal="center"/>
    </xf>
    <xf numFmtId="0" fontId="49" fillId="14" borderId="68" xfId="0" applyFont="1" applyFill="1" applyBorder="1" applyAlignment="1">
      <alignment horizontal="center" vertical="center"/>
    </xf>
    <xf numFmtId="0" fontId="22" fillId="14" borderId="66" xfId="0" applyFont="1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/>
    </xf>
    <xf numFmtId="4" fontId="40" fillId="14" borderId="14" xfId="0" applyNumberFormat="1" applyFont="1" applyFill="1" applyBorder="1" applyAlignment="1">
      <alignment horizontal="center"/>
    </xf>
    <xf numFmtId="10" fontId="40" fillId="14" borderId="54" xfId="0" applyNumberFormat="1" applyFont="1" applyFill="1" applyBorder="1" applyAlignment="1">
      <alignment horizontal="center"/>
    </xf>
    <xf numFmtId="49" fontId="40" fillId="14" borderId="57" xfId="0" applyNumberFormat="1" applyFont="1" applyFill="1" applyBorder="1" applyAlignment="1">
      <alignment horizontal="center" wrapText="1"/>
    </xf>
    <xf numFmtId="3" fontId="40" fillId="14" borderId="66" xfId="0" applyNumberFormat="1" applyFont="1" applyFill="1" applyBorder="1" applyAlignment="1">
      <alignment horizontal="center" wrapText="1"/>
    </xf>
    <xf numFmtId="2" fontId="40" fillId="14" borderId="14" xfId="0" applyNumberFormat="1" applyFont="1" applyFill="1" applyBorder="1" applyAlignment="1">
      <alignment horizontal="center"/>
    </xf>
    <xf numFmtId="0" fontId="40" fillId="14" borderId="14" xfId="0" applyFont="1" applyFill="1" applyBorder="1" applyAlignment="1">
      <alignment horizontal="center"/>
    </xf>
    <xf numFmtId="0" fontId="26" fillId="14" borderId="14" xfId="0" applyFont="1" applyFill="1" applyBorder="1" applyAlignment="1">
      <alignment horizontal="center"/>
    </xf>
    <xf numFmtId="0" fontId="49" fillId="12" borderId="68" xfId="0" applyFont="1" applyFill="1" applyBorder="1" applyAlignment="1">
      <alignment horizontal="center" vertical="center"/>
    </xf>
    <xf numFmtId="4" fontId="40" fillId="12" borderId="14" xfId="0" applyNumberFormat="1" applyFont="1" applyFill="1" applyBorder="1" applyAlignment="1">
      <alignment horizontal="center"/>
    </xf>
    <xf numFmtId="3" fontId="40" fillId="12" borderId="66" xfId="0" applyNumberFormat="1" applyFont="1" applyFill="1" applyBorder="1" applyAlignment="1">
      <alignment horizontal="center" wrapText="1"/>
    </xf>
    <xf numFmtId="2" fontId="40" fillId="12" borderId="14" xfId="0" applyNumberFormat="1" applyFont="1" applyFill="1" applyBorder="1" applyAlignment="1">
      <alignment horizontal="center"/>
    </xf>
    <xf numFmtId="0" fontId="26" fillId="12" borderId="14" xfId="0" applyFont="1" applyFill="1" applyBorder="1" applyAlignment="1">
      <alignment horizontal="center"/>
    </xf>
    <xf numFmtId="0" fontId="49" fillId="15" borderId="68" xfId="0" applyFont="1" applyFill="1" applyBorder="1" applyAlignment="1">
      <alignment horizontal="center" vertical="center"/>
    </xf>
    <xf numFmtId="0" fontId="22" fillId="15" borderId="66" xfId="0" applyFont="1" applyFill="1" applyBorder="1" applyAlignment="1">
      <alignment horizontal="center" vertical="center"/>
    </xf>
    <xf numFmtId="0" fontId="8" fillId="15" borderId="14" xfId="0" applyFont="1" applyFill="1" applyBorder="1" applyAlignment="1">
      <alignment horizontal="center"/>
    </xf>
    <xf numFmtId="4" fontId="40" fillId="15" borderId="14" xfId="0" applyNumberFormat="1" applyFont="1" applyFill="1" applyBorder="1" applyAlignment="1">
      <alignment horizontal="center"/>
    </xf>
    <xf numFmtId="10" fontId="40" fillId="15" borderId="54" xfId="0" applyNumberFormat="1" applyFont="1" applyFill="1" applyBorder="1" applyAlignment="1">
      <alignment horizontal="center"/>
    </xf>
    <xf numFmtId="49" fontId="40" fillId="15" borderId="57" xfId="0" applyNumberFormat="1" applyFont="1" applyFill="1" applyBorder="1" applyAlignment="1">
      <alignment horizontal="center" wrapText="1"/>
    </xf>
    <xf numFmtId="3" fontId="40" fillId="15" borderId="66" xfId="0" applyNumberFormat="1" applyFont="1" applyFill="1" applyBorder="1" applyAlignment="1">
      <alignment horizontal="center" wrapText="1"/>
    </xf>
    <xf numFmtId="2" fontId="40" fillId="15" borderId="14" xfId="0" applyNumberFormat="1" applyFont="1" applyFill="1" applyBorder="1" applyAlignment="1">
      <alignment horizontal="center"/>
    </xf>
    <xf numFmtId="0" fontId="40" fillId="15" borderId="14" xfId="0" applyFont="1" applyFill="1" applyBorder="1" applyAlignment="1">
      <alignment horizontal="center"/>
    </xf>
    <xf numFmtId="0" fontId="26" fillId="15" borderId="14" xfId="0" applyFont="1" applyFill="1" applyBorder="1" applyAlignment="1">
      <alignment horizontal="center"/>
    </xf>
    <xf numFmtId="0" fontId="50" fillId="12" borderId="14" xfId="0" applyFont="1" applyFill="1" applyBorder="1" applyAlignment="1">
      <alignment horizontal="center"/>
    </xf>
    <xf numFmtId="3" fontId="22" fillId="12" borderId="66" xfId="0" applyNumberFormat="1" applyFont="1" applyFill="1" applyBorder="1" applyAlignment="1">
      <alignment horizontal="center" wrapText="1"/>
    </xf>
    <xf numFmtId="0" fontId="23" fillId="3" borderId="68" xfId="0" applyFont="1" applyFill="1" applyBorder="1" applyAlignment="1">
      <alignment horizontal="center" vertical="center"/>
    </xf>
    <xf numFmtId="0" fontId="52" fillId="3" borderId="66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/>
    </xf>
    <xf numFmtId="4" fontId="53" fillId="3" borderId="14" xfId="0" applyNumberFormat="1" applyFont="1" applyFill="1" applyBorder="1" applyAlignment="1">
      <alignment horizontal="center"/>
    </xf>
    <xf numFmtId="10" fontId="53" fillId="3" borderId="54" xfId="0" applyNumberFormat="1" applyFont="1" applyFill="1" applyBorder="1" applyAlignment="1">
      <alignment horizontal="center"/>
    </xf>
    <xf numFmtId="49" fontId="53" fillId="3" borderId="57" xfId="0" applyNumberFormat="1" applyFont="1" applyFill="1" applyBorder="1" applyAlignment="1">
      <alignment horizontal="center" wrapText="1"/>
    </xf>
    <xf numFmtId="3" fontId="53" fillId="3" borderId="66" xfId="0" applyNumberFormat="1" applyFont="1" applyFill="1" applyBorder="1" applyAlignment="1">
      <alignment horizontal="center" wrapText="1"/>
    </xf>
    <xf numFmtId="2" fontId="53" fillId="3" borderId="14" xfId="0" applyNumberFormat="1" applyFont="1" applyFill="1" applyBorder="1" applyAlignment="1">
      <alignment horizontal="center"/>
    </xf>
    <xf numFmtId="0" fontId="53" fillId="3" borderId="14" xfId="0" applyFont="1" applyFill="1" applyBorder="1" applyAlignment="1">
      <alignment horizontal="center"/>
    </xf>
    <xf numFmtId="0" fontId="53" fillId="3" borderId="58" xfId="0" applyFont="1" applyFill="1" applyBorder="1" applyAlignment="1">
      <alignment horizontal="center"/>
    </xf>
    <xf numFmtId="0" fontId="47" fillId="3" borderId="13" xfId="0" applyFont="1" applyFill="1" applyBorder="1" applyAlignment="1">
      <alignment horizontal="center"/>
    </xf>
    <xf numFmtId="0" fontId="54" fillId="3" borderId="13" xfId="0" applyFont="1" applyFill="1" applyBorder="1"/>
    <xf numFmtId="0" fontId="55" fillId="3" borderId="13" xfId="0" applyFont="1" applyFill="1" applyBorder="1" applyAlignment="1">
      <alignment horizontal="center"/>
    </xf>
    <xf numFmtId="4" fontId="44" fillId="10" borderId="63" xfId="0" applyNumberFormat="1" applyFont="1" applyFill="1" applyBorder="1" applyAlignment="1">
      <alignment horizontal="center"/>
    </xf>
    <xf numFmtId="4" fontId="44" fillId="3" borderId="70" xfId="0" applyNumberFormat="1" applyFont="1" applyFill="1" applyBorder="1" applyAlignment="1">
      <alignment horizontal="center"/>
    </xf>
    <xf numFmtId="0" fontId="45" fillId="12" borderId="71" xfId="0" applyFont="1" applyFill="1" applyBorder="1" applyAlignment="1">
      <alignment horizontal="center"/>
    </xf>
    <xf numFmtId="0" fontId="56" fillId="12" borderId="71" xfId="0" applyFont="1" applyFill="1" applyBorder="1" applyAlignment="1">
      <alignment horizontal="center" vertical="center"/>
    </xf>
    <xf numFmtId="10" fontId="57" fillId="12" borderId="56" xfId="0" applyNumberFormat="1" applyFont="1" applyFill="1" applyBorder="1" applyAlignment="1">
      <alignment horizontal="center"/>
    </xf>
    <xf numFmtId="3" fontId="58" fillId="12" borderId="66" xfId="0" applyNumberFormat="1" applyFont="1" applyFill="1" applyBorder="1" applyAlignment="1">
      <alignment horizontal="center" wrapText="1"/>
    </xf>
    <xf numFmtId="2" fontId="57" fillId="12" borderId="14" xfId="0" applyNumberFormat="1" applyFont="1" applyFill="1" applyBorder="1" applyAlignment="1">
      <alignment horizontal="center"/>
    </xf>
    <xf numFmtId="0" fontId="59" fillId="12" borderId="58" xfId="0" applyFont="1" applyFill="1" applyBorder="1" applyAlignment="1">
      <alignment horizontal="center"/>
    </xf>
    <xf numFmtId="0" fontId="57" fillId="12" borderId="58" xfId="0" applyFont="1" applyFill="1" applyBorder="1" applyAlignment="1">
      <alignment horizontal="center"/>
    </xf>
    <xf numFmtId="0" fontId="60" fillId="13" borderId="53" xfId="0" applyFont="1" applyFill="1" applyBorder="1" applyAlignment="1">
      <alignment horizontal="center" vertical="center"/>
    </xf>
    <xf numFmtId="0" fontId="50" fillId="13" borderId="71" xfId="0" applyFont="1" applyFill="1" applyBorder="1" applyAlignment="1">
      <alignment horizontal="center" vertical="center"/>
    </xf>
    <xf numFmtId="0" fontId="57" fillId="13" borderId="14" xfId="0" applyFont="1" applyFill="1" applyBorder="1" applyAlignment="1">
      <alignment horizontal="center"/>
    </xf>
    <xf numFmtId="2" fontId="57" fillId="13" borderId="14" xfId="0" applyNumberFormat="1" applyFont="1" applyFill="1" applyBorder="1" applyAlignment="1">
      <alignment horizontal="center"/>
    </xf>
    <xf numFmtId="0" fontId="59" fillId="13" borderId="58" xfId="0" applyFont="1" applyFill="1" applyBorder="1" applyAlignment="1">
      <alignment horizontal="center"/>
    </xf>
    <xf numFmtId="0" fontId="8" fillId="13" borderId="58" xfId="0" applyFont="1" applyFill="1" applyBorder="1" applyAlignment="1">
      <alignment horizontal="center"/>
    </xf>
    <xf numFmtId="0" fontId="60" fillId="12" borderId="71" xfId="0" applyFont="1" applyFill="1" applyBorder="1" applyAlignment="1">
      <alignment horizontal="center" vertical="center"/>
    </xf>
    <xf numFmtId="0" fontId="50" fillId="12" borderId="71" xfId="0" applyFont="1" applyFill="1" applyBorder="1" applyAlignment="1">
      <alignment horizontal="center" vertical="center"/>
    </xf>
    <xf numFmtId="10" fontId="8" fillId="12" borderId="56" xfId="0" applyNumberFormat="1" applyFont="1" applyFill="1" applyBorder="1" applyAlignment="1">
      <alignment horizontal="center"/>
    </xf>
    <xf numFmtId="0" fontId="8" fillId="12" borderId="58" xfId="0" applyFont="1" applyFill="1" applyBorder="1" applyAlignment="1">
      <alignment horizontal="center"/>
    </xf>
    <xf numFmtId="0" fontId="49" fillId="14" borderId="53" xfId="0" applyFont="1" applyFill="1" applyBorder="1" applyAlignment="1">
      <alignment horizontal="center" vertical="center"/>
    </xf>
    <xf numFmtId="0" fontId="22" fillId="14" borderId="71" xfId="0" applyFont="1" applyFill="1" applyBorder="1" applyAlignment="1">
      <alignment horizontal="center" vertical="center"/>
    </xf>
    <xf numFmtId="10" fontId="8" fillId="14" borderId="56" xfId="0" applyNumberFormat="1" applyFont="1" applyFill="1" applyBorder="1" applyAlignment="1">
      <alignment horizontal="center"/>
    </xf>
    <xf numFmtId="49" fontId="40" fillId="14" borderId="47" xfId="0" applyNumberFormat="1" applyFont="1" applyFill="1" applyBorder="1" applyAlignment="1">
      <alignment horizontal="center" wrapText="1"/>
    </xf>
    <xf numFmtId="2" fontId="8" fillId="14" borderId="14" xfId="0" applyNumberFormat="1" applyFont="1" applyFill="1" applyBorder="1" applyAlignment="1">
      <alignment horizontal="center"/>
    </xf>
    <xf numFmtId="0" fontId="8" fillId="14" borderId="58" xfId="0" applyFont="1" applyFill="1" applyBorder="1" applyAlignment="1">
      <alignment horizontal="center"/>
    </xf>
    <xf numFmtId="0" fontId="49" fillId="12" borderId="53" xfId="0" applyFont="1" applyFill="1" applyBorder="1" applyAlignment="1">
      <alignment horizontal="center" vertical="center"/>
    </xf>
    <xf numFmtId="0" fontId="22" fillId="12" borderId="71" xfId="0" applyFont="1" applyFill="1" applyBorder="1" applyAlignment="1">
      <alignment horizontal="center" vertical="center"/>
    </xf>
    <xf numFmtId="49" fontId="40" fillId="12" borderId="47" xfId="0" applyNumberFormat="1" applyFont="1" applyFill="1" applyBorder="1" applyAlignment="1">
      <alignment horizontal="left" wrapText="1"/>
    </xf>
    <xf numFmtId="49" fontId="8" fillId="12" borderId="57" xfId="0" applyNumberFormat="1" applyFont="1" applyFill="1" applyBorder="1" applyAlignment="1">
      <alignment horizontal="center" wrapText="1"/>
    </xf>
    <xf numFmtId="2" fontId="8" fillId="12" borderId="14" xfId="0" applyNumberFormat="1" applyFont="1" applyFill="1" applyBorder="1" applyAlignment="1">
      <alignment horizontal="center"/>
    </xf>
    <xf numFmtId="0" fontId="49" fillId="15" borderId="53" xfId="0" applyFont="1" applyFill="1" applyBorder="1" applyAlignment="1">
      <alignment horizontal="center" vertical="center"/>
    </xf>
    <xf numFmtId="0" fontId="22" fillId="15" borderId="71" xfId="0" applyFont="1" applyFill="1" applyBorder="1" applyAlignment="1">
      <alignment horizontal="center" vertical="center"/>
    </xf>
    <xf numFmtId="10" fontId="8" fillId="15" borderId="56" xfId="0" applyNumberFormat="1" applyFont="1" applyFill="1" applyBorder="1" applyAlignment="1">
      <alignment horizontal="center"/>
    </xf>
    <xf numFmtId="49" fontId="40" fillId="15" borderId="47" xfId="0" applyNumberFormat="1" applyFont="1" applyFill="1" applyBorder="1" applyAlignment="1">
      <alignment horizontal="left" wrapText="1"/>
    </xf>
    <xf numFmtId="49" fontId="8" fillId="15" borderId="57" xfId="0" applyNumberFormat="1" applyFont="1" applyFill="1" applyBorder="1" applyAlignment="1">
      <alignment horizontal="center" wrapText="1"/>
    </xf>
    <xf numFmtId="2" fontId="8" fillId="15" borderId="14" xfId="0" applyNumberFormat="1" applyFont="1" applyFill="1" applyBorder="1" applyAlignment="1">
      <alignment horizontal="center"/>
    </xf>
    <xf numFmtId="0" fontId="8" fillId="15" borderId="58" xfId="0" applyFont="1" applyFill="1" applyBorder="1" applyAlignment="1">
      <alignment horizontal="center"/>
    </xf>
    <xf numFmtId="0" fontId="23" fillId="3" borderId="53" xfId="0" applyFont="1" applyFill="1" applyBorder="1" applyAlignment="1">
      <alignment horizontal="center" vertical="center"/>
    </xf>
    <xf numFmtId="0" fontId="52" fillId="3" borderId="71" xfId="0" applyFont="1" applyFill="1" applyBorder="1" applyAlignment="1">
      <alignment horizontal="center" vertical="center"/>
    </xf>
    <xf numFmtId="4" fontId="19" fillId="3" borderId="58" xfId="0" applyNumberFormat="1" applyFont="1" applyFill="1" applyBorder="1" applyAlignment="1">
      <alignment horizontal="center"/>
    </xf>
    <xf numFmtId="10" fontId="19" fillId="3" borderId="56" xfId="0" applyNumberFormat="1" applyFont="1" applyFill="1" applyBorder="1" applyAlignment="1">
      <alignment horizontal="center"/>
    </xf>
    <xf numFmtId="49" fontId="53" fillId="3" borderId="47" xfId="0" applyNumberFormat="1" applyFont="1" applyFill="1" applyBorder="1" applyAlignment="1">
      <alignment horizontal="center" wrapText="1"/>
    </xf>
    <xf numFmtId="49" fontId="19" fillId="3" borderId="57" xfId="0" applyNumberFormat="1" applyFont="1" applyFill="1" applyBorder="1" applyAlignment="1">
      <alignment horizontal="center" wrapText="1"/>
    </xf>
    <xf numFmtId="2" fontId="19" fillId="3" borderId="14" xfId="0" applyNumberFormat="1" applyFont="1" applyFill="1" applyBorder="1" applyAlignment="1">
      <alignment horizontal="center"/>
    </xf>
    <xf numFmtId="0" fontId="19" fillId="3" borderId="58" xfId="0" applyFont="1" applyFill="1" applyBorder="1" applyAlignment="1">
      <alignment horizontal="center"/>
    </xf>
    <xf numFmtId="0" fontId="21" fillId="0" borderId="72" xfId="0" applyFont="1" applyBorder="1" applyAlignment="1">
      <alignment horizontal="center"/>
    </xf>
    <xf numFmtId="0" fontId="21" fillId="0" borderId="72" xfId="0" applyFont="1" applyBorder="1" applyAlignment="1">
      <alignment vertical="center"/>
    </xf>
    <xf numFmtId="4" fontId="44" fillId="10" borderId="70" xfId="0" applyNumberFormat="1" applyFont="1" applyFill="1" applyBorder="1" applyAlignment="1">
      <alignment horizontal="center"/>
    </xf>
    <xf numFmtId="0" fontId="45" fillId="12" borderId="73" xfId="0" applyFont="1" applyFill="1" applyBorder="1" applyAlignment="1">
      <alignment horizontal="center"/>
    </xf>
    <xf numFmtId="0" fontId="56" fillId="12" borderId="73" xfId="0" applyFont="1" applyFill="1" applyBorder="1" applyAlignment="1">
      <alignment horizontal="center" vertical="center"/>
    </xf>
    <xf numFmtId="0" fontId="59" fillId="12" borderId="69" xfId="0" applyFont="1" applyFill="1" applyBorder="1" applyAlignment="1">
      <alignment horizontal="center"/>
    </xf>
    <xf numFmtId="0" fontId="57" fillId="12" borderId="69" xfId="0" applyFont="1" applyFill="1" applyBorder="1" applyAlignment="1">
      <alignment horizontal="center"/>
    </xf>
    <xf numFmtId="0" fontId="60" fillId="13" borderId="74" xfId="0" applyFont="1" applyFill="1" applyBorder="1" applyAlignment="1">
      <alignment horizontal="center" vertical="center"/>
    </xf>
    <xf numFmtId="0" fontId="50" fillId="13" borderId="73" xfId="0" applyFont="1" applyFill="1" applyBorder="1" applyAlignment="1">
      <alignment horizontal="center" vertical="center"/>
    </xf>
    <xf numFmtId="10" fontId="8" fillId="13" borderId="75" xfId="0" applyNumberFormat="1" applyFont="1" applyFill="1" applyBorder="1" applyAlignment="1">
      <alignment horizontal="center"/>
    </xf>
    <xf numFmtId="0" fontId="59" fillId="13" borderId="69" xfId="0" applyFont="1" applyFill="1" applyBorder="1" applyAlignment="1">
      <alignment horizontal="center"/>
    </xf>
    <xf numFmtId="0" fontId="8" fillId="13" borderId="69" xfId="0" applyFont="1" applyFill="1" applyBorder="1" applyAlignment="1">
      <alignment horizontal="center"/>
    </xf>
    <xf numFmtId="0" fontId="60" fillId="12" borderId="73" xfId="0" applyFont="1" applyFill="1" applyBorder="1" applyAlignment="1">
      <alignment horizontal="center" vertical="center"/>
    </xf>
    <xf numFmtId="0" fontId="50" fillId="12" borderId="73" xfId="0" applyFont="1" applyFill="1" applyBorder="1" applyAlignment="1">
      <alignment horizontal="center" vertical="center"/>
    </xf>
    <xf numFmtId="10" fontId="8" fillId="12" borderId="75" xfId="0" applyNumberFormat="1" applyFont="1" applyFill="1" applyBorder="1" applyAlignment="1">
      <alignment horizontal="center"/>
    </xf>
    <xf numFmtId="0" fontId="49" fillId="14" borderId="74" xfId="0" applyFont="1" applyFill="1" applyBorder="1" applyAlignment="1">
      <alignment horizontal="center" vertical="center"/>
    </xf>
    <xf numFmtId="0" fontId="22" fillId="14" borderId="73" xfId="0" applyFont="1" applyFill="1" applyBorder="1" applyAlignment="1">
      <alignment horizontal="center" vertical="center"/>
    </xf>
    <xf numFmtId="10" fontId="8" fillId="14" borderId="75" xfId="0" applyNumberFormat="1" applyFont="1" applyFill="1" applyBorder="1" applyAlignment="1">
      <alignment horizontal="center"/>
    </xf>
    <xf numFmtId="0" fontId="8" fillId="14" borderId="69" xfId="0" applyFont="1" applyFill="1" applyBorder="1" applyAlignment="1">
      <alignment horizontal="center"/>
    </xf>
    <xf numFmtId="0" fontId="49" fillId="12" borderId="74" xfId="0" applyFont="1" applyFill="1" applyBorder="1" applyAlignment="1">
      <alignment horizontal="center" vertical="center"/>
    </xf>
    <xf numFmtId="0" fontId="22" fillId="12" borderId="73" xfId="0" applyFont="1" applyFill="1" applyBorder="1" applyAlignment="1">
      <alignment horizontal="center" vertical="center"/>
    </xf>
    <xf numFmtId="0" fontId="49" fillId="15" borderId="74" xfId="0" applyFont="1" applyFill="1" applyBorder="1" applyAlignment="1">
      <alignment horizontal="center" vertical="center"/>
    </xf>
    <xf numFmtId="0" fontId="22" fillId="15" borderId="73" xfId="0" applyFont="1" applyFill="1" applyBorder="1" applyAlignment="1">
      <alignment horizontal="center" vertical="center"/>
    </xf>
    <xf numFmtId="10" fontId="8" fillId="15" borderId="75" xfId="0" applyNumberFormat="1" applyFont="1" applyFill="1" applyBorder="1" applyAlignment="1">
      <alignment horizontal="center"/>
    </xf>
    <xf numFmtId="0" fontId="8" fillId="15" borderId="69" xfId="0" applyFont="1" applyFill="1" applyBorder="1" applyAlignment="1">
      <alignment horizontal="center"/>
    </xf>
    <xf numFmtId="0" fontId="23" fillId="3" borderId="74" xfId="0" applyFont="1" applyFill="1" applyBorder="1" applyAlignment="1">
      <alignment horizontal="center" vertical="center"/>
    </xf>
    <xf numFmtId="0" fontId="52" fillId="3" borderId="73" xfId="0" applyFont="1" applyFill="1" applyBorder="1" applyAlignment="1">
      <alignment horizontal="center" vertical="center"/>
    </xf>
    <xf numFmtId="4" fontId="19" fillId="3" borderId="69" xfId="0" applyNumberFormat="1" applyFont="1" applyFill="1" applyBorder="1" applyAlignment="1">
      <alignment horizontal="center"/>
    </xf>
    <xf numFmtId="10" fontId="19" fillId="3" borderId="75" xfId="0" applyNumberFormat="1" applyFont="1" applyFill="1" applyBorder="1" applyAlignment="1">
      <alignment horizontal="center"/>
    </xf>
    <xf numFmtId="0" fontId="19" fillId="3" borderId="69" xfId="0" applyFont="1" applyFill="1" applyBorder="1" applyAlignment="1">
      <alignment horizontal="center"/>
    </xf>
    <xf numFmtId="4" fontId="44" fillId="10" borderId="76" xfId="0" applyNumberFormat="1" applyFont="1" applyFill="1" applyBorder="1" applyAlignment="1">
      <alignment horizontal="center"/>
    </xf>
    <xf numFmtId="0" fontId="49" fillId="12" borderId="73" xfId="0" applyFont="1" applyFill="1" applyBorder="1" applyAlignment="1">
      <alignment horizontal="center" vertical="center"/>
    </xf>
    <xf numFmtId="2" fontId="58" fillId="12" borderId="14" xfId="0" applyNumberFormat="1" applyFont="1" applyFill="1" applyBorder="1" applyAlignment="1">
      <alignment horizontal="center"/>
    </xf>
    <xf numFmtId="0" fontId="58" fillId="12" borderId="69" xfId="0" applyFont="1" applyFill="1" applyBorder="1" applyAlignment="1">
      <alignment horizontal="center"/>
    </xf>
    <xf numFmtId="0" fontId="22" fillId="13" borderId="73" xfId="0" applyFont="1" applyFill="1" applyBorder="1" applyAlignment="1">
      <alignment horizontal="center" vertical="center"/>
    </xf>
    <xf numFmtId="2" fontId="58" fillId="13" borderId="14" xfId="0" applyNumberFormat="1" applyFont="1" applyFill="1" applyBorder="1" applyAlignment="1">
      <alignment horizontal="center"/>
    </xf>
    <xf numFmtId="10" fontId="40" fillId="14" borderId="75" xfId="0" applyNumberFormat="1" applyFont="1" applyFill="1" applyBorder="1" applyAlignment="1">
      <alignment horizontal="center"/>
    </xf>
    <xf numFmtId="0" fontId="40" fillId="14" borderId="69" xfId="0" applyFont="1" applyFill="1" applyBorder="1" applyAlignment="1">
      <alignment horizontal="center"/>
    </xf>
    <xf numFmtId="10" fontId="40" fillId="12" borderId="75" xfId="0" applyNumberFormat="1" applyFont="1" applyFill="1" applyBorder="1" applyAlignment="1">
      <alignment horizontal="center"/>
    </xf>
    <xf numFmtId="0" fontId="40" fillId="12" borderId="69" xfId="0" applyFont="1" applyFill="1" applyBorder="1" applyAlignment="1">
      <alignment horizontal="center"/>
    </xf>
    <xf numFmtId="10" fontId="40" fillId="15" borderId="75" xfId="0" applyNumberFormat="1" applyFont="1" applyFill="1" applyBorder="1" applyAlignment="1">
      <alignment horizontal="center"/>
    </xf>
    <xf numFmtId="0" fontId="40" fillId="15" borderId="69" xfId="0" applyFont="1" applyFill="1" applyBorder="1" applyAlignment="1">
      <alignment horizontal="center"/>
    </xf>
    <xf numFmtId="4" fontId="53" fillId="3" borderId="69" xfId="0" applyNumberFormat="1" applyFont="1" applyFill="1" applyBorder="1" applyAlignment="1">
      <alignment horizontal="center"/>
    </xf>
    <xf numFmtId="10" fontId="53" fillId="3" borderId="75" xfId="0" applyNumberFormat="1" applyFont="1" applyFill="1" applyBorder="1" applyAlignment="1">
      <alignment horizontal="center"/>
    </xf>
    <xf numFmtId="0" fontId="53" fillId="3" borderId="69" xfId="0" applyFont="1" applyFill="1" applyBorder="1" applyAlignment="1">
      <alignment horizontal="center"/>
    </xf>
    <xf numFmtId="4" fontId="44" fillId="3" borderId="63" xfId="0" applyNumberFormat="1" applyFont="1" applyFill="1" applyBorder="1" applyAlignment="1">
      <alignment horizontal="center"/>
    </xf>
    <xf numFmtId="0" fontId="49" fillId="13" borderId="74" xfId="0" applyFont="1" applyFill="1" applyBorder="1" applyAlignment="1">
      <alignment horizontal="center" vertical="center"/>
    </xf>
    <xf numFmtId="4" fontId="61" fillId="10" borderId="63" xfId="0" applyNumberFormat="1" applyFont="1" applyFill="1" applyBorder="1" applyAlignment="1">
      <alignment horizontal="center"/>
    </xf>
    <xf numFmtId="0" fontId="62" fillId="12" borderId="73" xfId="0" applyFont="1" applyFill="1" applyBorder="1" applyAlignment="1">
      <alignment horizontal="center" vertical="center"/>
    </xf>
    <xf numFmtId="2" fontId="47" fillId="12" borderId="14" xfId="0" applyNumberFormat="1" applyFont="1" applyFill="1" applyBorder="1" applyAlignment="1">
      <alignment horizontal="center"/>
    </xf>
    <xf numFmtId="0" fontId="62" fillId="12" borderId="69" xfId="0" applyFont="1" applyFill="1" applyBorder="1" applyAlignment="1">
      <alignment horizontal="center"/>
    </xf>
    <xf numFmtId="2" fontId="47" fillId="13" borderId="14" xfId="0" applyNumberFormat="1" applyFont="1" applyFill="1" applyBorder="1" applyAlignment="1">
      <alignment horizontal="center"/>
    </xf>
    <xf numFmtId="0" fontId="62" fillId="13" borderId="69" xfId="0" applyFont="1" applyFill="1" applyBorder="1" applyAlignment="1">
      <alignment horizontal="center"/>
    </xf>
    <xf numFmtId="0" fontId="21" fillId="0" borderId="72" xfId="0" applyFont="1" applyBorder="1"/>
    <xf numFmtId="0" fontId="15" fillId="0" borderId="0" xfId="0" applyFont="1" applyAlignment="1">
      <alignment horizontal="center"/>
    </xf>
    <xf numFmtId="0" fontId="62" fillId="0" borderId="0" xfId="0" applyFont="1" applyAlignment="1">
      <alignment horizontal="center" vertical="center"/>
    </xf>
    <xf numFmtId="4" fontId="62" fillId="0" borderId="0" xfId="0" applyNumberFormat="1" applyFont="1" applyAlignment="1">
      <alignment horizontal="center" vertical="center"/>
    </xf>
    <xf numFmtId="10" fontId="62" fillId="0" borderId="0" xfId="0" applyNumberFormat="1" applyFont="1" applyAlignment="1">
      <alignment horizontal="center" vertical="center"/>
    </xf>
    <xf numFmtId="49" fontId="62" fillId="0" borderId="0" xfId="0" applyNumberFormat="1" applyFont="1" applyAlignment="1">
      <alignment horizontal="center" vertical="center"/>
    </xf>
    <xf numFmtId="3" fontId="62" fillId="0" borderId="0" xfId="0" applyNumberFormat="1" applyFont="1" applyAlignment="1">
      <alignment horizontal="center" vertical="center"/>
    </xf>
    <xf numFmtId="2" fontId="62" fillId="0" borderId="0" xfId="0" applyNumberFormat="1" applyFont="1" applyAlignment="1">
      <alignment horizontal="center" vertical="center"/>
    </xf>
    <xf numFmtId="0" fontId="63" fillId="3" borderId="13" xfId="0" applyFont="1" applyFill="1" applyBorder="1" applyAlignment="1">
      <alignment horizontal="center" vertical="center"/>
    </xf>
    <xf numFmtId="0" fontId="64" fillId="3" borderId="1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textRotation="90"/>
    </xf>
    <xf numFmtId="49" fontId="42" fillId="16" borderId="13" xfId="0" applyNumberFormat="1" applyFont="1" applyFill="1" applyBorder="1"/>
    <xf numFmtId="49" fontId="8" fillId="16" borderId="13" xfId="0" applyNumberFormat="1" applyFont="1" applyFill="1" applyBorder="1"/>
    <xf numFmtId="49" fontId="8" fillId="0" borderId="0" xfId="0" applyNumberFormat="1" applyFont="1"/>
    <xf numFmtId="49" fontId="21" fillId="17" borderId="13" xfId="0" applyNumberFormat="1" applyFont="1" applyFill="1" applyBorder="1"/>
    <xf numFmtId="3" fontId="21" fillId="13" borderId="13" xfId="0" applyNumberFormat="1" applyFont="1" applyFill="1" applyBorder="1" applyAlignment="1">
      <alignment horizontal="center"/>
    </xf>
    <xf numFmtId="49" fontId="65" fillId="0" borderId="0" xfId="0" applyNumberFormat="1" applyFont="1"/>
    <xf numFmtId="0" fontId="60" fillId="0" borderId="0" xfId="0" applyFont="1" applyAlignment="1">
      <alignment horizontal="center" vertical="center" textRotation="90"/>
    </xf>
    <xf numFmtId="0" fontId="49" fillId="18" borderId="74" xfId="0" applyFont="1" applyFill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49" fontId="67" fillId="0" borderId="0" xfId="0" applyNumberFormat="1" applyFont="1" applyAlignment="1">
      <alignment horizontal="center" vertical="center"/>
    </xf>
    <xf numFmtId="0" fontId="68" fillId="3" borderId="13" xfId="0" applyFont="1" applyFill="1" applyBorder="1"/>
    <xf numFmtId="0" fontId="69" fillId="3" borderId="0" xfId="0" applyFont="1" applyFill="1" applyAlignment="1">
      <alignment horizontal="left" vertical="center"/>
    </xf>
    <xf numFmtId="0" fontId="70" fillId="9" borderId="0" xfId="0" applyFont="1" applyFill="1" applyAlignment="1">
      <alignment horizontal="right" vertical="center"/>
    </xf>
    <xf numFmtId="0" fontId="70" fillId="9" borderId="0" xfId="0" applyFont="1" applyFill="1" applyAlignment="1">
      <alignment horizontal="left" vertical="center"/>
    </xf>
    <xf numFmtId="0" fontId="8" fillId="16" borderId="13" xfId="0" applyFont="1" applyFill="1" applyBorder="1"/>
    <xf numFmtId="0" fontId="21" fillId="17" borderId="13" xfId="0" applyFont="1" applyFill="1" applyBorder="1"/>
    <xf numFmtId="0" fontId="65" fillId="0" borderId="0" xfId="0" applyFont="1"/>
    <xf numFmtId="0" fontId="71" fillId="0" borderId="0" xfId="0" applyFont="1"/>
    <xf numFmtId="0" fontId="72" fillId="0" borderId="0" xfId="0" applyFont="1"/>
    <xf numFmtId="0" fontId="15" fillId="0" borderId="0" xfId="0" applyFont="1"/>
    <xf numFmtId="0" fontId="8" fillId="0" borderId="0" xfId="0" applyFont="1" applyAlignment="1">
      <alignment horizontal="center" vertical="center"/>
    </xf>
    <xf numFmtId="0" fontId="40" fillId="19" borderId="77" xfId="0" applyFont="1" applyFill="1" applyBorder="1" applyAlignment="1">
      <alignment horizontal="right"/>
    </xf>
    <xf numFmtId="0" fontId="73" fillId="19" borderId="0" xfId="0" applyFont="1" applyFill="1"/>
    <xf numFmtId="0" fontId="14" fillId="0" borderId="0" xfId="0" applyFont="1" applyAlignment="1">
      <alignment horizontal="center" vertical="center" textRotation="90"/>
    </xf>
    <xf numFmtId="0" fontId="42" fillId="16" borderId="13" xfId="0" applyFont="1" applyFill="1" applyBorder="1"/>
    <xf numFmtId="0" fontId="8" fillId="16" borderId="13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40" fillId="19" borderId="13" xfId="0" applyFont="1" applyFill="1" applyBorder="1" applyAlignment="1">
      <alignment horizontal="right"/>
    </xf>
    <xf numFmtId="0" fontId="40" fillId="0" borderId="0" xfId="0" applyFont="1" applyAlignment="1">
      <alignment horizontal="center" vertical="center"/>
    </xf>
    <xf numFmtId="0" fontId="40" fillId="16" borderId="13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0" fillId="20" borderId="13" xfId="0" applyFont="1" applyFill="1" applyBorder="1" applyAlignment="1">
      <alignment horizontal="center" vertical="center"/>
    </xf>
    <xf numFmtId="0" fontId="8" fillId="20" borderId="13" xfId="0" applyFont="1" applyFill="1" applyBorder="1" applyAlignment="1">
      <alignment horizontal="center" vertical="center"/>
    </xf>
    <xf numFmtId="0" fontId="74" fillId="16" borderId="13" xfId="0" applyFont="1" applyFill="1" applyBorder="1"/>
    <xf numFmtId="0" fontId="75" fillId="17" borderId="13" xfId="0" applyFont="1" applyFill="1" applyBorder="1"/>
    <xf numFmtId="0" fontId="21" fillId="13" borderId="13" xfId="0" applyFont="1" applyFill="1" applyBorder="1" applyAlignment="1">
      <alignment horizontal="center"/>
    </xf>
    <xf numFmtId="0" fontId="76" fillId="0" borderId="0" xfId="0" quotePrefix="1" applyFont="1" applyAlignment="1">
      <alignment horizontal="center" vertical="center"/>
    </xf>
    <xf numFmtId="0" fontId="23" fillId="21" borderId="0" xfId="0" applyFont="1" applyFill="1" applyAlignment="1">
      <alignment horizontal="center" vertical="center"/>
    </xf>
    <xf numFmtId="0" fontId="49" fillId="10" borderId="0" xfId="0" applyFont="1" applyFill="1" applyAlignment="1">
      <alignment horizontal="center" vertical="center"/>
    </xf>
    <xf numFmtId="0" fontId="77" fillId="22" borderId="0" xfId="0" applyFont="1" applyFill="1" applyAlignment="1">
      <alignment vertical="center"/>
    </xf>
    <xf numFmtId="0" fontId="77" fillId="22" borderId="0" xfId="0" applyFont="1" applyFill="1"/>
    <xf numFmtId="0" fontId="1" fillId="0" borderId="0" xfId="0" applyFont="1"/>
    <xf numFmtId="0" fontId="8" fillId="23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24" borderId="0" xfId="0" applyFont="1" applyFill="1" applyAlignment="1">
      <alignment horizontal="center"/>
    </xf>
    <xf numFmtId="0" fontId="1" fillId="0" borderId="78" xfId="0" applyFont="1" applyBorder="1"/>
    <xf numFmtId="0" fontId="40" fillId="23" borderId="78" xfId="0" applyFont="1" applyFill="1" applyBorder="1" applyAlignment="1">
      <alignment horizontal="center"/>
    </xf>
    <xf numFmtId="0" fontId="40" fillId="2" borderId="78" xfId="0" applyFont="1" applyFill="1" applyBorder="1" applyAlignment="1">
      <alignment horizontal="center"/>
    </xf>
    <xf numFmtId="0" fontId="40" fillId="8" borderId="78" xfId="0" applyFont="1" applyFill="1" applyBorder="1" applyAlignment="1">
      <alignment horizontal="center"/>
    </xf>
    <xf numFmtId="0" fontId="40" fillId="24" borderId="78" xfId="0" applyFont="1" applyFill="1" applyBorder="1" applyAlignment="1">
      <alignment horizontal="center"/>
    </xf>
    <xf numFmtId="0" fontId="78" fillId="23" borderId="0" xfId="0" applyFont="1" applyFill="1" applyAlignment="1">
      <alignment horizontal="center"/>
    </xf>
    <xf numFmtId="0" fontId="78" fillId="2" borderId="0" xfId="0" applyFont="1" applyFill="1" applyAlignment="1">
      <alignment horizontal="center"/>
    </xf>
    <xf numFmtId="0" fontId="78" fillId="8" borderId="0" xfId="0" applyFont="1" applyFill="1" applyAlignment="1">
      <alignment horizontal="center"/>
    </xf>
    <xf numFmtId="0" fontId="78" fillId="24" borderId="0" xfId="0" applyFont="1" applyFill="1" applyAlignment="1">
      <alignment horizontal="center"/>
    </xf>
    <xf numFmtId="0" fontId="79" fillId="22" borderId="0" xfId="0" applyFont="1" applyFill="1" applyAlignment="1">
      <alignment horizontal="center" vertical="center"/>
    </xf>
    <xf numFmtId="0" fontId="46" fillId="23" borderId="0" xfId="0" applyFont="1" applyFill="1" applyAlignment="1">
      <alignment horizontal="center"/>
    </xf>
    <xf numFmtId="0" fontId="46" fillId="2" borderId="0" xfId="0" applyFont="1" applyFill="1" applyAlignment="1">
      <alignment horizontal="center"/>
    </xf>
    <xf numFmtId="0" fontId="46" fillId="8" borderId="0" xfId="0" applyFont="1" applyFill="1" applyAlignment="1">
      <alignment horizontal="center"/>
    </xf>
    <xf numFmtId="0" fontId="46" fillId="24" borderId="0" xfId="0" applyFont="1" applyFill="1" applyAlignment="1">
      <alignment horizontal="center"/>
    </xf>
    <xf numFmtId="0" fontId="40" fillId="19" borderId="0" xfId="0" applyFont="1" applyFill="1" applyAlignment="1">
      <alignment vertical="center"/>
    </xf>
    <xf numFmtId="0" fontId="80" fillId="0" borderId="0" xfId="0" applyFont="1" applyAlignment="1">
      <alignment horizontal="left" vertical="center"/>
    </xf>
    <xf numFmtId="0" fontId="14" fillId="25" borderId="0" xfId="0" applyFont="1" applyFill="1" applyAlignment="1">
      <alignment horizontal="center" vertical="center"/>
    </xf>
    <xf numFmtId="0" fontId="40" fillId="25" borderId="0" xfId="0" applyFont="1" applyFill="1" applyAlignment="1">
      <alignment horizontal="center"/>
    </xf>
    <xf numFmtId="0" fontId="8" fillId="0" borderId="0" xfId="0" quotePrefix="1" applyFont="1" applyAlignment="1">
      <alignment horizontal="center"/>
    </xf>
    <xf numFmtId="0" fontId="47" fillId="26" borderId="72" xfId="0" applyFont="1" applyFill="1" applyBorder="1" applyAlignment="1">
      <alignment horizontal="center" wrapText="1"/>
    </xf>
    <xf numFmtId="0" fontId="61" fillId="26" borderId="72" xfId="0" applyFont="1" applyFill="1" applyBorder="1" applyAlignment="1">
      <alignment horizontal="center" wrapText="1"/>
    </xf>
    <xf numFmtId="0" fontId="15" fillId="3" borderId="72" xfId="0" applyFont="1" applyFill="1" applyBorder="1" applyAlignment="1">
      <alignment horizontal="center" wrapText="1"/>
    </xf>
    <xf numFmtId="3" fontId="47" fillId="12" borderId="72" xfId="0" applyNumberFormat="1" applyFont="1" applyFill="1" applyBorder="1" applyAlignment="1">
      <alignment horizontal="center" wrapText="1"/>
    </xf>
    <xf numFmtId="3" fontId="15" fillId="3" borderId="72" xfId="0" applyNumberFormat="1" applyFont="1" applyFill="1" applyBorder="1" applyAlignment="1">
      <alignment horizontal="center" wrapText="1"/>
    </xf>
    <xf numFmtId="0" fontId="15" fillId="10" borderId="72" xfId="0" applyFont="1" applyFill="1" applyBorder="1" applyAlignment="1">
      <alignment horizontal="center" wrapText="1"/>
    </xf>
    <xf numFmtId="3" fontId="81" fillId="10" borderId="72" xfId="0" applyNumberFormat="1" applyFont="1" applyFill="1" applyBorder="1" applyAlignment="1">
      <alignment horizontal="center" wrapText="1"/>
    </xf>
    <xf numFmtId="3" fontId="15" fillId="10" borderId="72" xfId="0" applyNumberFormat="1" applyFont="1" applyFill="1" applyBorder="1" applyAlignment="1">
      <alignment horizontal="center" wrapText="1"/>
    </xf>
    <xf numFmtId="0" fontId="1" fillId="25" borderId="0" xfId="0" applyFont="1" applyFill="1"/>
    <xf numFmtId="0" fontId="82" fillId="0" borderId="72" xfId="0" applyFont="1" applyBorder="1" applyAlignment="1">
      <alignment horizontal="right" wrapText="1"/>
    </xf>
    <xf numFmtId="0" fontId="82" fillId="0" borderId="72" xfId="0" applyFont="1" applyBorder="1" applyAlignment="1">
      <alignment horizontal="right"/>
    </xf>
    <xf numFmtId="10" fontId="8" fillId="0" borderId="0" xfId="0" applyNumberFormat="1" applyFont="1"/>
    <xf numFmtId="0" fontId="60" fillId="0" borderId="0" xfId="0" applyFont="1" applyAlignment="1">
      <alignment horizontal="left"/>
    </xf>
    <xf numFmtId="0" fontId="54" fillId="0" borderId="0" xfId="0" applyFont="1"/>
    <xf numFmtId="0" fontId="8" fillId="10" borderId="13" xfId="0" applyFont="1" applyFill="1" applyBorder="1"/>
    <xf numFmtId="0" fontId="83" fillId="1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0" fillId="0" borderId="72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 wrapText="1"/>
    </xf>
    <xf numFmtId="0" fontId="40" fillId="0" borderId="72" xfId="0" applyFont="1" applyBorder="1" applyAlignment="1">
      <alignment horizontal="center" vertical="center" wrapText="1"/>
    </xf>
    <xf numFmtId="10" fontId="40" fillId="0" borderId="72" xfId="0" applyNumberFormat="1" applyFont="1" applyBorder="1" applyAlignment="1">
      <alignment horizontal="center" vertical="center" wrapText="1"/>
    </xf>
    <xf numFmtId="0" fontId="84" fillId="0" borderId="0" xfId="0" applyFont="1" applyAlignment="1">
      <alignment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4" fillId="0" borderId="0" xfId="0" applyFont="1" applyAlignment="1">
      <alignment vertical="center" wrapText="1"/>
    </xf>
    <xf numFmtId="49" fontId="84" fillId="0" borderId="0" xfId="0" applyNumberFormat="1" applyFont="1" applyAlignment="1">
      <alignment horizontal="center" vertical="center" wrapText="1"/>
    </xf>
    <xf numFmtId="4" fontId="84" fillId="0" borderId="0" xfId="0" applyNumberFormat="1" applyFont="1" applyAlignment="1">
      <alignment horizontal="center" vertical="center"/>
    </xf>
    <xf numFmtId="10" fontId="84" fillId="0" borderId="0" xfId="0" applyNumberFormat="1" applyFont="1" applyAlignment="1">
      <alignment horizontal="center" vertical="center"/>
    </xf>
    <xf numFmtId="10" fontId="87" fillId="0" borderId="0" xfId="0" applyNumberFormat="1" applyFont="1" applyAlignment="1">
      <alignment horizontal="center" vertical="center"/>
    </xf>
    <xf numFmtId="1" fontId="84" fillId="0" borderId="0" xfId="0" applyNumberFormat="1" applyFont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89" fillId="0" borderId="0" xfId="0" applyFont="1" applyAlignment="1">
      <alignment vertical="center"/>
    </xf>
    <xf numFmtId="0" fontId="90" fillId="0" borderId="0" xfId="0" applyFont="1" applyAlignment="1">
      <alignment horizontal="left" vertical="center"/>
    </xf>
    <xf numFmtId="0" fontId="89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/>
    </xf>
    <xf numFmtId="0" fontId="90" fillId="0" borderId="0" xfId="0" applyFont="1" applyAlignment="1">
      <alignment vertical="center"/>
    </xf>
    <xf numFmtId="10" fontId="90" fillId="0" borderId="0" xfId="0" applyNumberFormat="1" applyFont="1" applyAlignment="1">
      <alignment vertical="center"/>
    </xf>
    <xf numFmtId="10" fontId="90" fillId="0" borderId="0" xfId="0" applyNumberFormat="1" applyFont="1" applyAlignment="1">
      <alignment horizontal="center" vertical="center"/>
    </xf>
    <xf numFmtId="2" fontId="90" fillId="0" borderId="0" xfId="0" applyNumberFormat="1" applyFont="1" applyAlignment="1">
      <alignment vertical="center"/>
    </xf>
    <xf numFmtId="2" fontId="89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89" fillId="0" borderId="0" xfId="0" applyFont="1" applyAlignment="1">
      <alignment horizontal="center" vertical="center"/>
    </xf>
    <xf numFmtId="10" fontId="89" fillId="0" borderId="0" xfId="0" applyNumberFormat="1" applyFont="1" applyAlignment="1">
      <alignment horizontal="center" vertical="center"/>
    </xf>
    <xf numFmtId="9" fontId="89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93" fillId="0" borderId="0" xfId="0" applyFont="1" applyAlignment="1">
      <alignment vertical="center" wrapText="1"/>
    </xf>
    <xf numFmtId="0" fontId="92" fillId="0" borderId="0" xfId="0" applyFont="1" applyAlignment="1">
      <alignment horizontal="center" vertical="center"/>
    </xf>
    <xf numFmtId="0" fontId="92" fillId="0" borderId="0" xfId="0" applyFont="1" applyAlignment="1">
      <alignment vertical="center"/>
    </xf>
    <xf numFmtId="10" fontId="92" fillId="0" borderId="0" xfId="0" applyNumberFormat="1" applyFont="1" applyAlignment="1">
      <alignment vertical="center"/>
    </xf>
    <xf numFmtId="10" fontId="92" fillId="0" borderId="0" xfId="0" applyNumberFormat="1" applyFont="1" applyAlignment="1">
      <alignment horizontal="center" vertical="center"/>
    </xf>
    <xf numFmtId="2" fontId="92" fillId="0" borderId="0" xfId="0" applyNumberFormat="1" applyFont="1" applyAlignment="1">
      <alignment vertical="center"/>
    </xf>
    <xf numFmtId="2" fontId="92" fillId="0" borderId="0" xfId="0" applyNumberFormat="1" applyFont="1" applyAlignment="1">
      <alignment horizontal="center" vertical="center"/>
    </xf>
    <xf numFmtId="0" fontId="93" fillId="0" borderId="0" xfId="0" applyFont="1" applyAlignment="1">
      <alignment vertical="center"/>
    </xf>
    <xf numFmtId="2" fontId="93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95" fillId="0" borderId="0" xfId="0" applyFont="1" applyAlignment="1">
      <alignment horizontal="left" vertical="center"/>
    </xf>
    <xf numFmtId="0" fontId="96" fillId="0" borderId="0" xfId="0" applyFont="1" applyAlignment="1">
      <alignment vertical="center" wrapText="1"/>
    </xf>
    <xf numFmtId="0" fontId="95" fillId="0" borderId="0" xfId="0" applyFont="1" applyAlignment="1">
      <alignment horizontal="center" vertical="center"/>
    </xf>
    <xf numFmtId="10" fontId="95" fillId="0" borderId="0" xfId="0" applyNumberFormat="1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left" vertical="center"/>
    </xf>
    <xf numFmtId="0" fontId="98" fillId="0" borderId="0" xfId="0" applyFont="1" applyAlignment="1">
      <alignment vertical="center"/>
    </xf>
    <xf numFmtId="10" fontId="98" fillId="0" borderId="0" xfId="0" applyNumberFormat="1" applyFont="1" applyAlignment="1">
      <alignment vertical="center"/>
    </xf>
    <xf numFmtId="10" fontId="84" fillId="0" borderId="0" xfId="0" applyNumberFormat="1" applyFont="1" applyAlignment="1">
      <alignment vertical="center"/>
    </xf>
    <xf numFmtId="0" fontId="99" fillId="0" borderId="0" xfId="0" applyFont="1" applyAlignment="1">
      <alignment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72" xfId="0" applyFont="1" applyBorder="1" applyAlignment="1">
      <alignment horizontal="left" vertical="center" wrapText="1"/>
    </xf>
    <xf numFmtId="0" fontId="99" fillId="0" borderId="63" xfId="0" applyFont="1" applyBorder="1" applyAlignment="1">
      <alignment horizontal="left" vertical="center"/>
    </xf>
    <xf numFmtId="0" fontId="99" fillId="0" borderId="72" xfId="0" applyFont="1" applyBorder="1" applyAlignment="1">
      <alignment horizontal="left" vertical="center"/>
    </xf>
    <xf numFmtId="0" fontId="101" fillId="0" borderId="0" xfId="0" applyFont="1" applyAlignment="1">
      <alignment horizontal="center" vertical="top"/>
    </xf>
    <xf numFmtId="0" fontId="101" fillId="0" borderId="72" xfId="0" applyFont="1" applyBorder="1" applyAlignment="1">
      <alignment horizontal="center" vertical="center"/>
    </xf>
    <xf numFmtId="0" fontId="106" fillId="24" borderId="80" xfId="0" applyFont="1" applyFill="1" applyBorder="1" applyAlignment="1">
      <alignment horizontal="left" vertical="top"/>
    </xf>
    <xf numFmtId="0" fontId="102" fillId="0" borderId="0" xfId="0" applyFont="1" applyAlignment="1">
      <alignment horizontal="center" vertical="top"/>
    </xf>
    <xf numFmtId="22" fontId="104" fillId="28" borderId="81" xfId="0" applyNumberFormat="1" applyFont="1" applyFill="1" applyBorder="1" applyAlignment="1">
      <alignment horizontal="left" vertical="center"/>
    </xf>
    <xf numFmtId="0" fontId="104" fillId="28" borderId="69" xfId="0" applyFont="1" applyFill="1" applyBorder="1" applyAlignment="1">
      <alignment horizontal="left" vertical="center"/>
    </xf>
    <xf numFmtId="22" fontId="104" fillId="28" borderId="69" xfId="0" applyNumberFormat="1" applyFont="1" applyFill="1" applyBorder="1" applyAlignment="1">
      <alignment horizontal="left" vertical="center"/>
    </xf>
    <xf numFmtId="0" fontId="99" fillId="0" borderId="15" xfId="0" applyFont="1" applyBorder="1" applyAlignment="1">
      <alignment horizontal="left" vertical="center"/>
    </xf>
    <xf numFmtId="22" fontId="104" fillId="28" borderId="80" xfId="0" applyNumberFormat="1" applyFont="1" applyFill="1" applyBorder="1" applyAlignment="1">
      <alignment horizontal="left" vertical="center"/>
    </xf>
    <xf numFmtId="0" fontId="108" fillId="3" borderId="0" xfId="0" applyFont="1" applyFill="1" applyAlignment="1">
      <alignment vertical="center"/>
    </xf>
    <xf numFmtId="0" fontId="99" fillId="28" borderId="13" xfId="0" applyFont="1" applyFill="1" applyBorder="1" applyAlignment="1">
      <alignment horizontal="center" vertical="center"/>
    </xf>
    <xf numFmtId="0" fontId="111" fillId="3" borderId="13" xfId="0" applyFont="1" applyFill="1" applyBorder="1" applyAlignment="1">
      <alignment horizontal="center" vertical="center"/>
    </xf>
    <xf numFmtId="0" fontId="108" fillId="3" borderId="13" xfId="0" applyFont="1" applyFill="1" applyBorder="1" applyAlignment="1">
      <alignment vertical="center"/>
    </xf>
    <xf numFmtId="0" fontId="99" fillId="3" borderId="13" xfId="0" applyFont="1" applyFill="1" applyBorder="1" applyAlignment="1">
      <alignment vertical="center"/>
    </xf>
    <xf numFmtId="0" fontId="99" fillId="0" borderId="0" xfId="0" applyFont="1"/>
    <xf numFmtId="0" fontId="99" fillId="0" borderId="0" xfId="0" applyFont="1" applyAlignment="1">
      <alignment horizontal="center"/>
    </xf>
    <xf numFmtId="0" fontId="113" fillId="0" borderId="0" xfId="0" applyFont="1" applyAlignment="1">
      <alignment horizontal="center"/>
    </xf>
    <xf numFmtId="0" fontId="115" fillId="3" borderId="13" xfId="0" applyFont="1" applyFill="1" applyBorder="1"/>
    <xf numFmtId="0" fontId="108" fillId="3" borderId="13" xfId="0" applyFont="1" applyFill="1" applyBorder="1"/>
    <xf numFmtId="0" fontId="99" fillId="3" borderId="13" xfId="0" applyFont="1" applyFill="1" applyBorder="1"/>
    <xf numFmtId="0" fontId="102" fillId="0" borderId="0" xfId="0" applyFont="1" applyAlignment="1">
      <alignment horizontal="center"/>
    </xf>
    <xf numFmtId="0" fontId="99" fillId="0" borderId="0" xfId="0" applyFont="1" applyAlignment="1">
      <alignment horizontal="right" vertical="center"/>
    </xf>
    <xf numFmtId="165" fontId="99" fillId="0" borderId="0" xfId="0" applyNumberFormat="1" applyFont="1" applyAlignment="1">
      <alignment horizontal="center" vertical="center"/>
    </xf>
    <xf numFmtId="0" fontId="15" fillId="10" borderId="13" xfId="0" applyFont="1" applyFill="1" applyBorder="1"/>
    <xf numFmtId="0" fontId="19" fillId="3" borderId="13" xfId="0" applyFont="1" applyFill="1" applyBorder="1"/>
    <xf numFmtId="0" fontId="15" fillId="3" borderId="13" xfId="0" applyFont="1" applyFill="1" applyBorder="1"/>
    <xf numFmtId="0" fontId="102" fillId="0" borderId="0" xfId="0" applyFont="1" applyAlignment="1">
      <alignment horizontal="center" vertical="center"/>
    </xf>
    <xf numFmtId="0" fontId="115" fillId="3" borderId="0" xfId="0" applyFont="1" applyFill="1" applyAlignment="1">
      <alignment horizontal="center" vertical="center"/>
    </xf>
    <xf numFmtId="0" fontId="117" fillId="0" borderId="0" xfId="0" applyFont="1" applyAlignment="1">
      <alignment horizontal="center" vertical="center" wrapText="1"/>
    </xf>
    <xf numFmtId="0" fontId="118" fillId="3" borderId="0" xfId="0" applyFont="1" applyFill="1" applyAlignment="1">
      <alignment horizontal="center" vertical="center" wrapText="1"/>
    </xf>
    <xf numFmtId="0" fontId="119" fillId="0" borderId="0" xfId="0" applyFont="1" applyAlignment="1">
      <alignment horizontal="center" vertical="center" wrapText="1"/>
    </xf>
    <xf numFmtId="0" fontId="120" fillId="3" borderId="0" xfId="0" applyFont="1" applyFill="1" applyAlignment="1">
      <alignment horizontal="center" vertical="center" wrapText="1"/>
    </xf>
    <xf numFmtId="0" fontId="121" fillId="0" borderId="86" xfId="0" applyFont="1" applyBorder="1" applyAlignment="1">
      <alignment horizontal="center" vertical="center"/>
    </xf>
    <xf numFmtId="0" fontId="122" fillId="3" borderId="86" xfId="0" applyFont="1" applyFill="1" applyBorder="1" applyAlignment="1">
      <alignment horizontal="center" vertical="center"/>
    </xf>
    <xf numFmtId="49" fontId="115" fillId="3" borderId="0" xfId="0" applyNumberFormat="1" applyFont="1" applyFill="1" applyAlignment="1">
      <alignment horizontal="center" vertical="center"/>
    </xf>
    <xf numFmtId="0" fontId="113" fillId="0" borderId="0" xfId="0" applyFont="1" applyAlignment="1">
      <alignment horizontal="right" vertical="center"/>
    </xf>
    <xf numFmtId="166" fontId="123" fillId="0" borderId="86" xfId="0" applyNumberFormat="1" applyFont="1" applyBorder="1" applyAlignment="1">
      <alignment horizontal="center" vertical="center"/>
    </xf>
    <xf numFmtId="166" fontId="124" fillId="3" borderId="86" xfId="0" applyNumberFormat="1" applyFont="1" applyFill="1" applyBorder="1" applyAlignment="1">
      <alignment horizontal="center" vertical="center"/>
    </xf>
    <xf numFmtId="10" fontId="121" fillId="0" borderId="0" xfId="0" applyNumberFormat="1" applyFont="1" applyAlignment="1">
      <alignment horizontal="center" vertical="center"/>
    </xf>
    <xf numFmtId="10" fontId="122" fillId="3" borderId="0" xfId="0" applyNumberFormat="1" applyFont="1" applyFill="1" applyAlignment="1">
      <alignment horizontal="center" vertical="center"/>
    </xf>
    <xf numFmtId="10" fontId="125" fillId="0" borderId="86" xfId="0" applyNumberFormat="1" applyFont="1" applyBorder="1" applyAlignment="1">
      <alignment horizontal="center" vertical="center"/>
    </xf>
    <xf numFmtId="10" fontId="126" fillId="3" borderId="86" xfId="0" applyNumberFormat="1" applyFont="1" applyFill="1" applyBorder="1" applyAlignment="1">
      <alignment horizontal="center" vertical="center"/>
    </xf>
    <xf numFmtId="0" fontId="113" fillId="0" borderId="0" xfId="0" applyFont="1" applyAlignment="1">
      <alignment vertical="center"/>
    </xf>
    <xf numFmtId="166" fontId="125" fillId="3" borderId="87" xfId="0" applyNumberFormat="1" applyFont="1" applyFill="1" applyBorder="1" applyAlignment="1">
      <alignment horizontal="center" vertical="center"/>
    </xf>
    <xf numFmtId="166" fontId="126" fillId="3" borderId="87" xfId="0" applyNumberFormat="1" applyFont="1" applyFill="1" applyBorder="1" applyAlignment="1">
      <alignment horizontal="center" vertical="center"/>
    </xf>
    <xf numFmtId="0" fontId="127" fillId="0" borderId="0" xfId="0" applyFont="1" applyAlignment="1">
      <alignment horizontal="right" vertical="center"/>
    </xf>
    <xf numFmtId="10" fontId="125" fillId="0" borderId="88" xfId="0" applyNumberFormat="1" applyFont="1" applyBorder="1" applyAlignment="1">
      <alignment horizontal="center" vertical="center"/>
    </xf>
    <xf numFmtId="9" fontId="126" fillId="3" borderId="0" xfId="0" applyNumberFormat="1" applyFont="1" applyFill="1" applyAlignment="1">
      <alignment horizontal="center" vertical="center"/>
    </xf>
    <xf numFmtId="10" fontId="126" fillId="3" borderId="0" xfId="0" applyNumberFormat="1" applyFont="1" applyFill="1" applyAlignment="1">
      <alignment horizontal="center" vertical="center"/>
    </xf>
    <xf numFmtId="10" fontId="125" fillId="0" borderId="0" xfId="0" applyNumberFormat="1" applyFont="1" applyAlignment="1">
      <alignment horizontal="center" vertical="center"/>
    </xf>
    <xf numFmtId="10" fontId="125" fillId="29" borderId="77" xfId="0" applyNumberFormat="1" applyFont="1" applyFill="1" applyBorder="1" applyAlignment="1">
      <alignment horizontal="center" vertical="center"/>
    </xf>
    <xf numFmtId="10" fontId="125" fillId="3" borderId="77" xfId="0" applyNumberFormat="1" applyFont="1" applyFill="1" applyBorder="1" applyAlignment="1">
      <alignment horizontal="center" vertical="center"/>
    </xf>
    <xf numFmtId="10" fontId="126" fillId="3" borderId="13" xfId="0" applyNumberFormat="1" applyFont="1" applyFill="1" applyBorder="1" applyAlignment="1">
      <alignment horizontal="center" vertical="center"/>
    </xf>
    <xf numFmtId="0" fontId="19" fillId="3" borderId="0" xfId="0" applyFont="1" applyFill="1"/>
    <xf numFmtId="167" fontId="99" fillId="0" borderId="0" xfId="0" applyNumberFormat="1" applyFont="1" applyAlignment="1">
      <alignment horizontal="center" vertical="center"/>
    </xf>
    <xf numFmtId="167" fontId="108" fillId="0" borderId="0" xfId="0" applyNumberFormat="1" applyFont="1" applyAlignment="1">
      <alignment horizontal="center" vertical="center"/>
    </xf>
    <xf numFmtId="167" fontId="108" fillId="3" borderId="0" xfId="0" applyNumberFormat="1" applyFont="1" applyFill="1" applyAlignment="1">
      <alignment horizontal="center" vertical="center"/>
    </xf>
    <xf numFmtId="0" fontId="128" fillId="0" borderId="0" xfId="0" applyFont="1" applyAlignment="1">
      <alignment vertical="center"/>
    </xf>
    <xf numFmtId="0" fontId="128" fillId="3" borderId="13" xfId="0" applyFont="1" applyFill="1" applyBorder="1" applyAlignment="1">
      <alignment vertical="center"/>
    </xf>
    <xf numFmtId="0" fontId="102" fillId="0" borderId="89" xfId="0" applyFont="1" applyBorder="1" applyAlignment="1">
      <alignment horizontal="center" vertical="center" wrapText="1"/>
    </xf>
    <xf numFmtId="0" fontId="115" fillId="3" borderId="89" xfId="0" applyFont="1" applyFill="1" applyBorder="1" applyAlignment="1">
      <alignment horizontal="center" vertical="center" wrapText="1"/>
    </xf>
    <xf numFmtId="0" fontId="129" fillId="3" borderId="13" xfId="0" applyFont="1" applyFill="1" applyBorder="1" applyAlignment="1">
      <alignment horizontal="center" vertical="center" wrapText="1"/>
    </xf>
    <xf numFmtId="0" fontId="99" fillId="28" borderId="13" xfId="0" applyFont="1" applyFill="1" applyBorder="1" applyAlignment="1">
      <alignment horizontal="right" vertical="center"/>
    </xf>
    <xf numFmtId="4" fontId="130" fillId="0" borderId="0" xfId="0" applyNumberFormat="1" applyFont="1" applyAlignment="1">
      <alignment horizontal="center" vertical="center"/>
    </xf>
    <xf numFmtId="4" fontId="131" fillId="3" borderId="0" xfId="0" applyNumberFormat="1" applyFont="1" applyFill="1" applyAlignment="1">
      <alignment horizontal="center" vertical="center"/>
    </xf>
    <xf numFmtId="4" fontId="132" fillId="3" borderId="13" xfId="0" applyNumberFormat="1" applyFont="1" applyFill="1" applyBorder="1" applyAlignment="1">
      <alignment horizontal="center" vertical="center"/>
    </xf>
    <xf numFmtId="3" fontId="131" fillId="3" borderId="13" xfId="0" applyNumberFormat="1" applyFont="1" applyFill="1" applyBorder="1" applyAlignment="1">
      <alignment horizontal="center" vertical="center"/>
    </xf>
    <xf numFmtId="0" fontId="133" fillId="0" borderId="0" xfId="0" applyFont="1" applyAlignment="1">
      <alignment vertical="center"/>
    </xf>
    <xf numFmtId="0" fontId="112" fillId="28" borderId="13" xfId="0" applyFont="1" applyFill="1" applyBorder="1" applyAlignment="1">
      <alignment horizontal="right" vertical="center"/>
    </xf>
    <xf numFmtId="3" fontId="112" fillId="3" borderId="13" xfId="0" applyNumberFormat="1" applyFont="1" applyFill="1" applyBorder="1" applyAlignment="1">
      <alignment horizontal="center" vertical="center"/>
    </xf>
    <xf numFmtId="3" fontId="134" fillId="3" borderId="13" xfId="0" applyNumberFormat="1" applyFont="1" applyFill="1" applyBorder="1" applyAlignment="1">
      <alignment horizontal="center" vertical="center"/>
    </xf>
    <xf numFmtId="0" fontId="135" fillId="0" borderId="0" xfId="0" applyFont="1" applyAlignment="1">
      <alignment vertical="center"/>
    </xf>
    <xf numFmtId="3" fontId="121" fillId="0" borderId="0" xfId="0" applyNumberFormat="1" applyFont="1" applyAlignment="1">
      <alignment horizontal="center" vertical="center"/>
    </xf>
    <xf numFmtId="3" fontId="122" fillId="0" borderId="0" xfId="0" applyNumberFormat="1" applyFont="1" applyAlignment="1">
      <alignment horizontal="center" vertical="center"/>
    </xf>
    <xf numFmtId="3" fontId="122" fillId="3" borderId="0" xfId="0" applyNumberFormat="1" applyFont="1" applyFill="1" applyAlignment="1">
      <alignment horizontal="center" vertical="center"/>
    </xf>
    <xf numFmtId="3" fontId="136" fillId="3" borderId="13" xfId="0" applyNumberFormat="1" applyFont="1" applyFill="1" applyBorder="1" applyAlignment="1">
      <alignment horizontal="center" vertical="center"/>
    </xf>
    <xf numFmtId="0" fontId="116" fillId="0" borderId="0" xfId="0" applyFont="1" applyAlignment="1">
      <alignment horizontal="center" vertical="center"/>
    </xf>
    <xf numFmtId="0" fontId="137" fillId="0" borderId="0" xfId="0" applyFont="1"/>
    <xf numFmtId="0" fontId="137" fillId="3" borderId="13" xfId="0" applyFont="1" applyFill="1" applyBorder="1"/>
    <xf numFmtId="0" fontId="138" fillId="3" borderId="13" xfId="0" applyFont="1" applyFill="1" applyBorder="1"/>
    <xf numFmtId="0" fontId="139" fillId="3" borderId="13" xfId="0" applyFont="1" applyFill="1" applyBorder="1"/>
    <xf numFmtId="167" fontId="121" fillId="29" borderId="90" xfId="0" applyNumberFormat="1" applyFont="1" applyFill="1" applyBorder="1" applyAlignment="1">
      <alignment horizontal="center" vertical="center"/>
    </xf>
    <xf numFmtId="167" fontId="122" fillId="3" borderId="90" xfId="0" applyNumberFormat="1" applyFont="1" applyFill="1" applyBorder="1" applyAlignment="1">
      <alignment horizontal="center" vertical="center"/>
    </xf>
    <xf numFmtId="167" fontId="136" fillId="3" borderId="13" xfId="0" applyNumberFormat="1" applyFont="1" applyFill="1" applyBorder="1" applyAlignment="1">
      <alignment horizontal="center" vertical="center"/>
    </xf>
    <xf numFmtId="2" fontId="121" fillId="29" borderId="90" xfId="0" applyNumberFormat="1" applyFont="1" applyFill="1" applyBorder="1" applyAlignment="1">
      <alignment horizontal="center" vertical="center"/>
    </xf>
    <xf numFmtId="2" fontId="122" fillId="3" borderId="90" xfId="0" applyNumberFormat="1" applyFont="1" applyFill="1" applyBorder="1" applyAlignment="1">
      <alignment horizontal="center" vertical="center"/>
    </xf>
    <xf numFmtId="2" fontId="136" fillId="3" borderId="13" xfId="0" applyNumberFormat="1" applyFont="1" applyFill="1" applyBorder="1" applyAlignment="1">
      <alignment horizontal="center" vertical="center"/>
    </xf>
    <xf numFmtId="168" fontId="121" fillId="0" borderId="91" xfId="0" applyNumberFormat="1" applyFont="1" applyBorder="1" applyAlignment="1">
      <alignment horizontal="center" vertical="center"/>
    </xf>
    <xf numFmtId="168" fontId="122" fillId="3" borderId="91" xfId="0" applyNumberFormat="1" applyFont="1" applyFill="1" applyBorder="1" applyAlignment="1">
      <alignment horizontal="center" vertical="center"/>
    </xf>
    <xf numFmtId="168" fontId="136" fillId="3" borderId="13" xfId="0" applyNumberFormat="1" applyFont="1" applyFill="1" applyBorder="1" applyAlignment="1">
      <alignment horizontal="center" vertical="center"/>
    </xf>
    <xf numFmtId="166" fontId="121" fillId="0" borderId="92" xfId="0" applyNumberFormat="1" applyFont="1" applyBorder="1" applyAlignment="1">
      <alignment horizontal="center" vertical="center"/>
    </xf>
    <xf numFmtId="166" fontId="122" fillId="3" borderId="92" xfId="0" applyNumberFormat="1" applyFont="1" applyFill="1" applyBorder="1" applyAlignment="1">
      <alignment horizontal="center" vertical="center"/>
    </xf>
    <xf numFmtId="166" fontId="136" fillId="3" borderId="13" xfId="0" applyNumberFormat="1" applyFont="1" applyFill="1" applyBorder="1" applyAlignment="1">
      <alignment horizontal="center" vertical="center"/>
    </xf>
    <xf numFmtId="167" fontId="121" fillId="0" borderId="92" xfId="0" applyNumberFormat="1" applyFont="1" applyBorder="1" applyAlignment="1">
      <alignment horizontal="center" vertical="center"/>
    </xf>
    <xf numFmtId="167" fontId="122" fillId="3" borderId="92" xfId="0" applyNumberFormat="1" applyFont="1" applyFill="1" applyBorder="1" applyAlignment="1">
      <alignment horizontal="center" vertical="center"/>
    </xf>
    <xf numFmtId="169" fontId="121" fillId="0" borderId="92" xfId="0" applyNumberFormat="1" applyFont="1" applyBorder="1" applyAlignment="1">
      <alignment horizontal="center" vertical="center"/>
    </xf>
    <xf numFmtId="3" fontId="122" fillId="3" borderId="92" xfId="0" applyNumberFormat="1" applyFont="1" applyFill="1" applyBorder="1" applyAlignment="1">
      <alignment horizontal="center" vertical="center"/>
    </xf>
    <xf numFmtId="4" fontId="122" fillId="3" borderId="92" xfId="0" applyNumberFormat="1" applyFont="1" applyFill="1" applyBorder="1" applyAlignment="1">
      <alignment horizontal="center" vertical="center"/>
    </xf>
    <xf numFmtId="0" fontId="140" fillId="0" borderId="0" xfId="0" applyFont="1" applyAlignment="1">
      <alignment vertical="center"/>
    </xf>
    <xf numFmtId="4" fontId="141" fillId="3" borderId="13" xfId="0" applyNumberFormat="1" applyFont="1" applyFill="1" applyBorder="1" applyAlignment="1">
      <alignment horizontal="center" vertical="center"/>
    </xf>
    <xf numFmtId="0" fontId="73" fillId="0" borderId="0" xfId="0" applyFont="1"/>
    <xf numFmtId="0" fontId="142" fillId="28" borderId="13" xfId="0" applyFont="1" applyFill="1" applyBorder="1" applyAlignment="1">
      <alignment horizontal="right" vertical="center"/>
    </xf>
    <xf numFmtId="3" fontId="143" fillId="0" borderId="92" xfId="0" applyNumberFormat="1" applyFont="1" applyBorder="1" applyAlignment="1">
      <alignment horizontal="center" vertical="center"/>
    </xf>
    <xf numFmtId="166" fontId="143" fillId="0" borderId="92" xfId="0" applyNumberFormat="1" applyFont="1" applyBorder="1" applyAlignment="1">
      <alignment horizontal="center" vertical="center"/>
    </xf>
    <xf numFmtId="3" fontId="141" fillId="3" borderId="13" xfId="0" applyNumberFormat="1" applyFont="1" applyFill="1" applyBorder="1" applyAlignment="1">
      <alignment horizontal="center"/>
    </xf>
    <xf numFmtId="0" fontId="144" fillId="28" borderId="13" xfId="0" applyFont="1" applyFill="1" applyBorder="1" applyAlignment="1">
      <alignment horizontal="right" vertical="center"/>
    </xf>
    <xf numFmtId="0" fontId="144" fillId="0" borderId="0" xfId="0" applyFont="1" applyAlignment="1">
      <alignment vertical="center"/>
    </xf>
    <xf numFmtId="0" fontId="144" fillId="3" borderId="13" xfId="0" applyFont="1" applyFill="1" applyBorder="1" applyAlignment="1">
      <alignment horizontal="right" vertical="center"/>
    </xf>
    <xf numFmtId="166" fontId="145" fillId="3" borderId="13" xfId="0" applyNumberFormat="1" applyFont="1" applyFill="1" applyBorder="1" applyAlignment="1">
      <alignment horizontal="center" vertical="center"/>
    </xf>
    <xf numFmtId="0" fontId="146" fillId="0" borderId="0" xfId="0" applyFont="1"/>
    <xf numFmtId="3" fontId="145" fillId="3" borderId="13" xfId="0" applyNumberFormat="1" applyFont="1" applyFill="1" applyBorder="1" applyAlignment="1">
      <alignment horizontal="center" vertical="center"/>
    </xf>
    <xf numFmtId="4" fontId="122" fillId="3" borderId="93" xfId="0" applyNumberFormat="1" applyFont="1" applyFill="1" applyBorder="1" applyAlignment="1">
      <alignment horizontal="center" vertical="center"/>
    </xf>
    <xf numFmtId="1" fontId="126" fillId="3" borderId="90" xfId="0" applyNumberFormat="1" applyFont="1" applyFill="1" applyBorder="1" applyAlignment="1">
      <alignment horizontal="center" vertical="center"/>
    </xf>
    <xf numFmtId="166" fontId="141" fillId="3" borderId="13" xfId="0" applyNumberFormat="1" applyFont="1" applyFill="1" applyBorder="1" applyAlignment="1">
      <alignment horizontal="center" vertical="center"/>
    </xf>
    <xf numFmtId="3" fontId="145" fillId="3" borderId="70" xfId="0" applyNumberFormat="1" applyFont="1" applyFill="1" applyBorder="1" applyAlignment="1">
      <alignment horizontal="center" vertical="center"/>
    </xf>
    <xf numFmtId="3" fontId="122" fillId="3" borderId="70" xfId="0" applyNumberFormat="1" applyFont="1" applyFill="1" applyBorder="1" applyAlignment="1">
      <alignment horizontal="center" vertical="center"/>
    </xf>
    <xf numFmtId="166" fontId="126" fillId="3" borderId="92" xfId="0" applyNumberFormat="1" applyFont="1" applyFill="1" applyBorder="1" applyAlignment="1">
      <alignment horizontal="center" vertical="center"/>
    </xf>
    <xf numFmtId="166" fontId="121" fillId="0" borderId="93" xfId="0" applyNumberFormat="1" applyFont="1" applyBorder="1" applyAlignment="1">
      <alignment horizontal="center" vertical="center"/>
    </xf>
    <xf numFmtId="4" fontId="147" fillId="3" borderId="13" xfId="0" applyNumberFormat="1" applyFont="1" applyFill="1" applyBorder="1" applyAlignment="1">
      <alignment horizontal="center" vertical="center" wrapText="1"/>
    </xf>
    <xf numFmtId="3" fontId="121" fillId="3" borderId="90" xfId="0" applyNumberFormat="1" applyFont="1" applyFill="1" applyBorder="1" applyAlignment="1">
      <alignment horizontal="center" vertical="center"/>
    </xf>
    <xf numFmtId="3" fontId="122" fillId="3" borderId="90" xfId="0" applyNumberFormat="1" applyFont="1" applyFill="1" applyBorder="1" applyAlignment="1">
      <alignment horizontal="center" vertical="center"/>
    </xf>
    <xf numFmtId="169" fontId="121" fillId="3" borderId="90" xfId="0" applyNumberFormat="1" applyFont="1" applyFill="1" applyBorder="1" applyAlignment="1">
      <alignment horizontal="center" vertical="center"/>
    </xf>
    <xf numFmtId="10" fontId="147" fillId="3" borderId="13" xfId="0" applyNumberFormat="1" applyFont="1" applyFill="1" applyBorder="1" applyAlignment="1">
      <alignment horizontal="center" vertical="center"/>
    </xf>
    <xf numFmtId="10" fontId="128" fillId="3" borderId="1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5" fillId="0" borderId="93" xfId="0" applyFont="1" applyBorder="1" applyAlignment="1">
      <alignment vertical="center"/>
    </xf>
    <xf numFmtId="166" fontId="148" fillId="3" borderId="94" xfId="0" applyNumberFormat="1" applyFont="1" applyFill="1" applyBorder="1" applyAlignment="1">
      <alignment horizontal="center" vertical="center"/>
    </xf>
    <xf numFmtId="166" fontId="149" fillId="3" borderId="94" xfId="0" applyNumberFormat="1" applyFont="1" applyFill="1" applyBorder="1" applyAlignment="1">
      <alignment horizontal="center" vertical="center"/>
    </xf>
    <xf numFmtId="0" fontId="100" fillId="0" borderId="89" xfId="0" applyFont="1" applyBorder="1" applyAlignment="1">
      <alignment horizontal="center" vertical="center" wrapText="1"/>
    </xf>
    <xf numFmtId="10" fontId="121" fillId="29" borderId="95" xfId="0" applyNumberFormat="1" applyFont="1" applyFill="1" applyBorder="1" applyAlignment="1">
      <alignment horizontal="center" vertical="center"/>
    </xf>
    <xf numFmtId="10" fontId="150" fillId="29" borderId="95" xfId="0" applyNumberFormat="1" applyFont="1" applyFill="1" applyBorder="1" applyAlignment="1">
      <alignment horizontal="center" vertical="center"/>
    </xf>
    <xf numFmtId="10" fontId="122" fillId="3" borderId="95" xfId="0" applyNumberFormat="1" applyFont="1" applyFill="1" applyBorder="1" applyAlignment="1">
      <alignment horizontal="center" vertical="center"/>
    </xf>
    <xf numFmtId="10" fontId="136" fillId="3" borderId="13" xfId="0" applyNumberFormat="1" applyFont="1" applyFill="1" applyBorder="1" applyAlignment="1">
      <alignment horizontal="center" vertical="center"/>
    </xf>
    <xf numFmtId="10" fontId="141" fillId="29" borderId="69" xfId="0" applyNumberFormat="1" applyFont="1" applyFill="1" applyBorder="1" applyAlignment="1">
      <alignment horizontal="center" vertical="center"/>
    </xf>
    <xf numFmtId="10" fontId="150" fillId="29" borderId="69" xfId="0" applyNumberFormat="1" applyFont="1" applyFill="1" applyBorder="1" applyAlignment="1">
      <alignment horizontal="center" vertical="center"/>
    </xf>
    <xf numFmtId="10" fontId="122" fillId="3" borderId="69" xfId="0" applyNumberFormat="1" applyFont="1" applyFill="1" applyBorder="1" applyAlignment="1">
      <alignment horizontal="center" vertical="center"/>
    </xf>
    <xf numFmtId="10" fontId="151" fillId="0" borderId="19" xfId="0" applyNumberFormat="1" applyFont="1" applyBorder="1" applyAlignment="1">
      <alignment horizontal="center" vertical="center"/>
    </xf>
    <xf numFmtId="10" fontId="126" fillId="0" borderId="19" xfId="0" applyNumberFormat="1" applyFont="1" applyBorder="1" applyAlignment="1">
      <alignment horizontal="center" vertical="center"/>
    </xf>
    <xf numFmtId="10" fontId="126" fillId="3" borderId="19" xfId="0" applyNumberFormat="1" applyFont="1" applyFill="1" applyBorder="1" applyAlignment="1">
      <alignment horizontal="center" vertical="center"/>
    </xf>
    <xf numFmtId="0" fontId="152" fillId="3" borderId="13" xfId="0" applyFont="1" applyFill="1" applyBorder="1" applyAlignment="1">
      <alignment horizontal="center" vertical="center"/>
    </xf>
    <xf numFmtId="1" fontId="153" fillId="3" borderId="95" xfId="0" applyNumberFormat="1" applyFont="1" applyFill="1" applyBorder="1" applyAlignment="1">
      <alignment horizontal="center" vertical="center"/>
    </xf>
    <xf numFmtId="1" fontId="154" fillId="3" borderId="95" xfId="0" applyNumberFormat="1" applyFont="1" applyFill="1" applyBorder="1" applyAlignment="1">
      <alignment horizontal="center" vertical="center"/>
    </xf>
    <xf numFmtId="1" fontId="155" fillId="3" borderId="95" xfId="0" applyNumberFormat="1" applyFont="1" applyFill="1" applyBorder="1" applyAlignment="1">
      <alignment horizontal="center" vertical="center"/>
    </xf>
    <xf numFmtId="1" fontId="147" fillId="3" borderId="13" xfId="0" applyNumberFormat="1" applyFont="1" applyFill="1" applyBorder="1" applyAlignment="1">
      <alignment horizontal="center" vertical="center"/>
    </xf>
    <xf numFmtId="1" fontId="112" fillId="0" borderId="96" xfId="0" applyNumberFormat="1" applyFont="1" applyBorder="1" applyAlignment="1">
      <alignment horizontal="center" vertical="center"/>
    </xf>
    <xf numFmtId="1" fontId="134" fillId="3" borderId="96" xfId="0" applyNumberFormat="1" applyFont="1" applyFill="1" applyBorder="1" applyAlignment="1">
      <alignment horizontal="center" vertical="center"/>
    </xf>
    <xf numFmtId="1" fontId="136" fillId="3" borderId="13" xfId="0" applyNumberFormat="1" applyFont="1" applyFill="1" applyBorder="1" applyAlignment="1">
      <alignment horizontal="center" vertical="center"/>
    </xf>
    <xf numFmtId="0" fontId="99" fillId="0" borderId="70" xfId="0" applyFont="1" applyBorder="1" applyAlignment="1">
      <alignment horizontal="right" vertical="center"/>
    </xf>
    <xf numFmtId="1" fontId="122" fillId="3" borderId="96" xfId="0" applyNumberFormat="1" applyFont="1" applyFill="1" applyBorder="1" applyAlignment="1">
      <alignment horizontal="center" vertical="center"/>
    </xf>
    <xf numFmtId="0" fontId="19" fillId="0" borderId="0" xfId="0" applyFont="1"/>
    <xf numFmtId="0" fontId="156" fillId="0" borderId="0" xfId="0" applyFont="1" applyAlignment="1">
      <alignment horizontal="center"/>
    </xf>
    <xf numFmtId="0" fontId="156" fillId="0" borderId="0" xfId="0" applyFont="1"/>
    <xf numFmtId="4" fontId="156" fillId="0" borderId="0" xfId="0" applyNumberFormat="1" applyFont="1"/>
    <xf numFmtId="170" fontId="156" fillId="0" borderId="0" xfId="0" applyNumberFormat="1" applyFont="1"/>
    <xf numFmtId="171" fontId="156" fillId="0" borderId="0" xfId="0" applyNumberFormat="1" applyFont="1"/>
    <xf numFmtId="172" fontId="156" fillId="0" borderId="0" xfId="0" applyNumberFormat="1" applyFont="1"/>
    <xf numFmtId="0" fontId="25" fillId="0" borderId="0" xfId="0" applyFont="1"/>
    <xf numFmtId="0" fontId="158" fillId="0" borderId="0" xfId="0" applyFont="1" applyAlignment="1">
      <alignment horizontal="center" vertical="center"/>
    </xf>
    <xf numFmtId="4" fontId="8" fillId="0" borderId="0" xfId="0" applyNumberFormat="1" applyFont="1"/>
    <xf numFmtId="170" fontId="8" fillId="0" borderId="0" xfId="0" applyNumberFormat="1" applyFont="1"/>
    <xf numFmtId="171" fontId="8" fillId="0" borderId="0" xfId="0" applyNumberFormat="1" applyFont="1"/>
    <xf numFmtId="172" fontId="8" fillId="0" borderId="0" xfId="0" applyNumberFormat="1" applyFont="1"/>
    <xf numFmtId="0" fontId="29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170" fontId="29" fillId="0" borderId="0" xfId="0" applyNumberFormat="1" applyFont="1" applyAlignment="1">
      <alignment horizontal="left"/>
    </xf>
    <xf numFmtId="171" fontId="29" fillId="0" borderId="0" xfId="0" applyNumberFormat="1" applyFont="1" applyAlignment="1">
      <alignment horizontal="left"/>
    </xf>
    <xf numFmtId="172" fontId="29" fillId="0" borderId="0" xfId="0" applyNumberFormat="1" applyFont="1" applyAlignment="1">
      <alignment horizontal="left"/>
    </xf>
    <xf numFmtId="0" fontId="160" fillId="0" borderId="0" xfId="0" applyFont="1" applyAlignment="1">
      <alignment horizontal="left"/>
    </xf>
    <xf numFmtId="4" fontId="160" fillId="0" borderId="0" xfId="0" applyNumberFormat="1" applyFont="1" applyAlignment="1">
      <alignment horizontal="left"/>
    </xf>
    <xf numFmtId="170" fontId="160" fillId="0" borderId="0" xfId="0" applyNumberFormat="1" applyFont="1" applyAlignment="1">
      <alignment horizontal="left"/>
    </xf>
    <xf numFmtId="171" fontId="160" fillId="0" borderId="0" xfId="0" applyNumberFormat="1" applyFont="1" applyAlignment="1">
      <alignment horizontal="left"/>
    </xf>
    <xf numFmtId="172" fontId="160" fillId="0" borderId="0" xfId="0" applyNumberFormat="1" applyFont="1" applyAlignment="1">
      <alignment horizontal="left"/>
    </xf>
    <xf numFmtId="170" fontId="8" fillId="0" borderId="97" xfId="0" applyNumberFormat="1" applyFont="1" applyBorder="1" applyAlignment="1">
      <alignment horizontal="left"/>
    </xf>
    <xf numFmtId="171" fontId="158" fillId="0" borderId="97" xfId="0" applyNumberFormat="1" applyFont="1" applyBorder="1" applyAlignment="1">
      <alignment horizontal="right" wrapText="1"/>
    </xf>
    <xf numFmtId="172" fontId="158" fillId="0" borderId="17" xfId="0" applyNumberFormat="1" applyFont="1" applyBorder="1" applyAlignment="1">
      <alignment horizontal="right" wrapText="1"/>
    </xf>
    <xf numFmtId="172" fontId="161" fillId="0" borderId="0" xfId="0" applyNumberFormat="1" applyFont="1" applyAlignment="1">
      <alignment horizontal="left" wrapText="1"/>
    </xf>
    <xf numFmtId="170" fontId="8" fillId="0" borderId="0" xfId="0" applyNumberFormat="1" applyFont="1" applyAlignment="1">
      <alignment horizontal="left"/>
    </xf>
    <xf numFmtId="171" fontId="158" fillId="0" borderId="0" xfId="0" applyNumberFormat="1" applyFont="1" applyAlignment="1">
      <alignment horizontal="left" wrapText="1"/>
    </xf>
    <xf numFmtId="172" fontId="162" fillId="0" borderId="17" xfId="0" applyNumberFormat="1" applyFont="1" applyBorder="1" applyAlignment="1">
      <alignment horizontal="center" wrapText="1"/>
    </xf>
    <xf numFmtId="0" fontId="8" fillId="0" borderId="25" xfId="0" applyFont="1" applyBorder="1"/>
    <xf numFmtId="0" fontId="158" fillId="30" borderId="72" xfId="0" applyFont="1" applyFill="1" applyBorder="1" applyAlignment="1">
      <alignment horizontal="center" vertical="center"/>
    </xf>
    <xf numFmtId="0" fontId="158" fillId="30" borderId="72" xfId="0" applyFont="1" applyFill="1" applyBorder="1" applyAlignment="1">
      <alignment horizontal="center" vertical="center" wrapText="1"/>
    </xf>
    <xf numFmtId="4" fontId="158" fillId="30" borderId="72" xfId="0" applyNumberFormat="1" applyFont="1" applyFill="1" applyBorder="1" applyAlignment="1">
      <alignment horizontal="center" vertical="center" wrapText="1"/>
    </xf>
    <xf numFmtId="170" fontId="165" fillId="30" borderId="72" xfId="0" applyNumberFormat="1" applyFont="1" applyFill="1" applyBorder="1" applyAlignment="1">
      <alignment horizontal="center" vertical="center" wrapText="1"/>
    </xf>
    <xf numFmtId="171" fontId="103" fillId="30" borderId="25" xfId="0" applyNumberFormat="1" applyFont="1" applyFill="1" applyBorder="1" applyAlignment="1">
      <alignment horizontal="center" vertical="center" wrapText="1"/>
    </xf>
    <xf numFmtId="172" fontId="103" fillId="30" borderId="72" xfId="0" applyNumberFormat="1" applyFont="1" applyFill="1" applyBorder="1" applyAlignment="1">
      <alignment horizontal="center" vertical="center" wrapText="1"/>
    </xf>
    <xf numFmtId="172" fontId="103" fillId="30" borderId="25" xfId="0" applyNumberFormat="1" applyFont="1" applyFill="1" applyBorder="1" applyAlignment="1">
      <alignment horizontal="center" vertical="center" wrapText="1"/>
    </xf>
    <xf numFmtId="0" fontId="166" fillId="30" borderId="72" xfId="0" applyFont="1" applyFill="1" applyBorder="1" applyAlignment="1">
      <alignment horizontal="center" vertical="center" wrapText="1"/>
    </xf>
    <xf numFmtId="0" fontId="151" fillId="30" borderId="72" xfId="0" applyFont="1" applyFill="1" applyBorder="1" applyAlignment="1">
      <alignment horizontal="center" vertical="center" wrapText="1"/>
    </xf>
    <xf numFmtId="170" fontId="103" fillId="30" borderId="72" xfId="0" applyNumberFormat="1" applyFont="1" applyFill="1" applyBorder="1" applyAlignment="1">
      <alignment horizontal="center" vertical="center" wrapText="1"/>
    </xf>
    <xf numFmtId="0" fontId="156" fillId="0" borderId="99" xfId="0" applyFont="1" applyBorder="1" applyAlignment="1">
      <alignment horizontal="right" vertical="center" wrapText="1"/>
    </xf>
    <xf numFmtId="3" fontId="156" fillId="0" borderId="99" xfId="0" applyNumberFormat="1" applyFont="1" applyBorder="1" applyAlignment="1">
      <alignment horizontal="center" vertical="center" wrapText="1"/>
    </xf>
    <xf numFmtId="1" fontId="156" fillId="0" borderId="99" xfId="0" applyNumberFormat="1" applyFont="1" applyBorder="1" applyAlignment="1">
      <alignment horizontal="center" vertical="center"/>
    </xf>
    <xf numFmtId="4" fontId="156" fillId="0" borderId="99" xfId="0" applyNumberFormat="1" applyFont="1" applyBorder="1" applyAlignment="1">
      <alignment horizontal="center" vertical="center"/>
    </xf>
    <xf numFmtId="170" fontId="165" fillId="0" borderId="100" xfId="0" applyNumberFormat="1" applyFont="1" applyBorder="1" applyAlignment="1">
      <alignment horizontal="center" vertical="center"/>
    </xf>
    <xf numFmtId="172" fontId="156" fillId="0" borderId="99" xfId="0" applyNumberFormat="1" applyFont="1" applyBorder="1" applyAlignment="1">
      <alignment horizontal="center" vertical="center"/>
    </xf>
    <xf numFmtId="172" fontId="165" fillId="0" borderId="100" xfId="0" applyNumberFormat="1" applyFont="1" applyBorder="1" applyAlignment="1">
      <alignment horizontal="center" vertical="center"/>
    </xf>
    <xf numFmtId="1" fontId="156" fillId="0" borderId="101" xfId="0" applyNumberFormat="1" applyFont="1" applyBorder="1" applyAlignment="1">
      <alignment horizontal="center" vertical="center"/>
    </xf>
    <xf numFmtId="3" fontId="103" fillId="0" borderId="99" xfId="0" applyNumberFormat="1" applyFont="1" applyBorder="1" applyAlignment="1">
      <alignment horizontal="center" vertical="center"/>
    </xf>
    <xf numFmtId="170" fontId="165" fillId="0" borderId="102" xfId="0" applyNumberFormat="1" applyFont="1" applyBorder="1" applyAlignment="1">
      <alignment horizontal="center" vertical="center"/>
    </xf>
    <xf numFmtId="171" fontId="156" fillId="0" borderId="103" xfId="0" applyNumberFormat="1" applyFont="1" applyBorder="1" applyAlignment="1">
      <alignment horizontal="center" vertical="center"/>
    </xf>
    <xf numFmtId="172" fontId="167" fillId="0" borderId="103" xfId="0" applyNumberFormat="1" applyFont="1" applyBorder="1" applyAlignment="1">
      <alignment horizontal="center" vertical="center"/>
    </xf>
    <xf numFmtId="172" fontId="168" fillId="0" borderId="103" xfId="0" applyNumberFormat="1" applyFont="1" applyBorder="1" applyAlignment="1">
      <alignment horizontal="center" vertical="center"/>
    </xf>
    <xf numFmtId="166" fontId="156" fillId="0" borderId="0" xfId="0" applyNumberFormat="1" applyFont="1" applyAlignment="1">
      <alignment horizontal="center" vertical="center"/>
    </xf>
    <xf numFmtId="0" fontId="156" fillId="0" borderId="103" xfId="0" applyFont="1" applyBorder="1" applyAlignment="1">
      <alignment horizontal="right" vertical="center" wrapText="1"/>
    </xf>
    <xf numFmtId="3" fontId="156" fillId="0" borderId="103" xfId="0" applyNumberFormat="1" applyFont="1" applyBorder="1" applyAlignment="1">
      <alignment horizontal="center" vertical="center" wrapText="1"/>
    </xf>
    <xf numFmtId="1" fontId="156" fillId="0" borderId="103" xfId="0" applyNumberFormat="1" applyFont="1" applyBorder="1" applyAlignment="1">
      <alignment horizontal="center" vertical="center"/>
    </xf>
    <xf numFmtId="4" fontId="156" fillId="0" borderId="103" xfId="0" applyNumberFormat="1" applyFont="1" applyBorder="1" applyAlignment="1">
      <alignment horizontal="center" vertical="center"/>
    </xf>
    <xf numFmtId="172" fontId="156" fillId="0" borderId="103" xfId="0" applyNumberFormat="1" applyFont="1" applyBorder="1" applyAlignment="1">
      <alignment horizontal="center" vertical="center"/>
    </xf>
    <xf numFmtId="172" fontId="165" fillId="0" borderId="102" xfId="0" applyNumberFormat="1" applyFont="1" applyBorder="1" applyAlignment="1">
      <alignment horizontal="center" vertical="center"/>
    </xf>
    <xf numFmtId="1" fontId="156" fillId="0" borderId="104" xfId="0" applyNumberFormat="1" applyFont="1" applyBorder="1" applyAlignment="1">
      <alignment horizontal="center" vertical="center"/>
    </xf>
    <xf numFmtId="3" fontId="103" fillId="0" borderId="103" xfId="0" applyNumberFormat="1" applyFont="1" applyBorder="1" applyAlignment="1">
      <alignment horizontal="center" vertical="center"/>
    </xf>
    <xf numFmtId="0" fontId="156" fillId="0" borderId="0" xfId="0" applyFont="1" applyAlignment="1">
      <alignment horizontal="center" vertical="center"/>
    </xf>
    <xf numFmtId="4" fontId="156" fillId="0" borderId="72" xfId="0" applyNumberFormat="1" applyFont="1" applyBorder="1" applyAlignment="1">
      <alignment horizontal="center" vertical="center"/>
    </xf>
    <xf numFmtId="172" fontId="156" fillId="0" borderId="29" xfId="0" applyNumberFormat="1" applyFont="1" applyBorder="1" applyAlignment="1">
      <alignment horizontal="center" vertical="center"/>
    </xf>
    <xf numFmtId="0" fontId="156" fillId="0" borderId="63" xfId="0" applyFont="1" applyBorder="1" applyAlignment="1">
      <alignment horizontal="right" vertical="center" wrapText="1"/>
    </xf>
    <xf numFmtId="3" fontId="156" fillId="0" borderId="63" xfId="0" applyNumberFormat="1" applyFont="1" applyBorder="1" applyAlignment="1">
      <alignment horizontal="center" vertical="center" wrapText="1"/>
    </xf>
    <xf numFmtId="1" fontId="156" fillId="0" borderId="63" xfId="0" applyNumberFormat="1" applyFont="1" applyBorder="1" applyAlignment="1">
      <alignment horizontal="center" vertical="center"/>
    </xf>
    <xf numFmtId="4" fontId="156" fillId="0" borderId="63" xfId="0" applyNumberFormat="1" applyFont="1" applyBorder="1" applyAlignment="1">
      <alignment horizontal="center" vertical="center"/>
    </xf>
    <xf numFmtId="170" fontId="165" fillId="0" borderId="105" xfId="0" applyNumberFormat="1" applyFont="1" applyBorder="1" applyAlignment="1">
      <alignment horizontal="center" vertical="center"/>
    </xf>
    <xf numFmtId="172" fontId="156" fillId="0" borderId="72" xfId="0" applyNumberFormat="1" applyFont="1" applyBorder="1" applyAlignment="1">
      <alignment horizontal="center" vertical="center"/>
    </xf>
    <xf numFmtId="172" fontId="165" fillId="0" borderId="105" xfId="0" applyNumberFormat="1" applyFont="1" applyBorder="1" applyAlignment="1">
      <alignment horizontal="center" vertical="center"/>
    </xf>
    <xf numFmtId="1" fontId="156" fillId="0" borderId="106" xfId="0" applyNumberFormat="1" applyFont="1" applyBorder="1" applyAlignment="1">
      <alignment horizontal="center" vertical="center"/>
    </xf>
    <xf numFmtId="3" fontId="103" fillId="0" borderId="63" xfId="0" applyNumberFormat="1" applyFont="1" applyBorder="1" applyAlignment="1">
      <alignment horizontal="center" vertical="center"/>
    </xf>
    <xf numFmtId="171" fontId="156" fillId="0" borderId="29" xfId="0" applyNumberFormat="1" applyFont="1" applyBorder="1" applyAlignment="1">
      <alignment horizontal="center" vertical="center"/>
    </xf>
    <xf numFmtId="172" fontId="167" fillId="0" borderId="63" xfId="0" applyNumberFormat="1" applyFont="1" applyBorder="1" applyAlignment="1">
      <alignment horizontal="center" vertical="center"/>
    </xf>
    <xf numFmtId="172" fontId="156" fillId="0" borderId="25" xfId="0" applyNumberFormat="1" applyFont="1" applyBorder="1" applyAlignment="1">
      <alignment horizontal="center" vertical="center"/>
    </xf>
    <xf numFmtId="172" fontId="169" fillId="0" borderId="29" xfId="0" applyNumberFormat="1" applyFont="1" applyBorder="1" applyAlignment="1">
      <alignment horizontal="center" vertical="center"/>
    </xf>
    <xf numFmtId="1" fontId="156" fillId="0" borderId="107" xfId="0" applyNumberFormat="1" applyFont="1" applyBorder="1" applyAlignment="1">
      <alignment horizontal="center" vertical="center"/>
    </xf>
    <xf numFmtId="171" fontId="167" fillId="0" borderId="99" xfId="0" applyNumberFormat="1" applyFont="1" applyBorder="1" applyAlignment="1">
      <alignment horizontal="center" vertical="center"/>
    </xf>
    <xf numFmtId="172" fontId="167" fillId="0" borderId="99" xfId="0" applyNumberFormat="1" applyFont="1" applyBorder="1" applyAlignment="1">
      <alignment horizontal="center" vertical="center"/>
    </xf>
    <xf numFmtId="0" fontId="156" fillId="0" borderId="0" xfId="0" applyFont="1" applyAlignment="1">
      <alignment vertical="center"/>
    </xf>
    <xf numFmtId="0" fontId="123" fillId="30" borderId="63" xfId="0" applyFont="1" applyFill="1" applyBorder="1" applyAlignment="1">
      <alignment horizontal="right" vertical="center"/>
    </xf>
    <xf numFmtId="1" fontId="123" fillId="0" borderId="29" xfId="0" applyNumberFormat="1" applyFont="1" applyBorder="1" applyAlignment="1">
      <alignment horizontal="center" vertical="center"/>
    </xf>
    <xf numFmtId="4" fontId="123" fillId="30" borderId="63" xfId="0" applyNumberFormat="1" applyFont="1" applyFill="1" applyBorder="1" applyAlignment="1">
      <alignment horizontal="center" vertical="center"/>
    </xf>
    <xf numFmtId="170" fontId="123" fillId="30" borderId="63" xfId="0" applyNumberFormat="1" applyFont="1" applyFill="1" applyBorder="1" applyAlignment="1">
      <alignment horizontal="center" vertical="center"/>
    </xf>
    <xf numFmtId="172" fontId="112" fillId="30" borderId="63" xfId="0" applyNumberFormat="1" applyFont="1" applyFill="1" applyBorder="1" applyAlignment="1">
      <alignment horizontal="center" vertical="center"/>
    </xf>
    <xf numFmtId="172" fontId="123" fillId="0" borderId="98" xfId="0" applyNumberFormat="1" applyFont="1" applyBorder="1" applyAlignment="1">
      <alignment horizontal="center" vertical="center"/>
    </xf>
    <xf numFmtId="1" fontId="123" fillId="0" borderId="98" xfId="0" applyNumberFormat="1" applyFont="1" applyBorder="1" applyAlignment="1">
      <alignment horizontal="center" vertical="center"/>
    </xf>
    <xf numFmtId="1" fontId="123" fillId="0" borderId="0" xfId="0" applyNumberFormat="1" applyFont="1" applyAlignment="1">
      <alignment horizontal="center" vertical="center"/>
    </xf>
    <xf numFmtId="170" fontId="112" fillId="30" borderId="63" xfId="0" applyNumberFormat="1" applyFont="1" applyFill="1" applyBorder="1" applyAlignment="1">
      <alignment horizontal="center" vertical="center"/>
    </xf>
    <xf numFmtId="171" fontId="112" fillId="30" borderId="63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170" fillId="0" borderId="70" xfId="0" applyFont="1" applyBorder="1" applyAlignment="1">
      <alignment horizontal="right"/>
    </xf>
    <xf numFmtId="0" fontId="170" fillId="0" borderId="70" xfId="0" applyFont="1" applyBorder="1" applyAlignment="1">
      <alignment horizontal="center" vertical="center"/>
    </xf>
    <xf numFmtId="4" fontId="170" fillId="0" borderId="70" xfId="0" applyNumberFormat="1" applyFont="1" applyBorder="1" applyAlignment="1">
      <alignment horizontal="right"/>
    </xf>
    <xf numFmtId="170" fontId="170" fillId="0" borderId="0" xfId="0" applyNumberFormat="1" applyFont="1" applyAlignment="1">
      <alignment horizontal="right"/>
    </xf>
    <xf numFmtId="171" fontId="170" fillId="0" borderId="0" xfId="0" applyNumberFormat="1" applyFont="1" applyAlignment="1">
      <alignment horizontal="center"/>
    </xf>
    <xf numFmtId="172" fontId="170" fillId="0" borderId="0" xfId="0" applyNumberFormat="1" applyFont="1" applyAlignment="1">
      <alignment horizontal="center"/>
    </xf>
    <xf numFmtId="4" fontId="170" fillId="0" borderId="0" xfId="0" applyNumberFormat="1" applyFont="1" applyAlignment="1">
      <alignment horizontal="center"/>
    </xf>
    <xf numFmtId="170" fontId="170" fillId="0" borderId="0" xfId="0" applyNumberFormat="1" applyFont="1" applyAlignment="1">
      <alignment horizontal="center"/>
    </xf>
    <xf numFmtId="4" fontId="1" fillId="0" borderId="0" xfId="0" applyNumberFormat="1" applyFont="1"/>
    <xf numFmtId="170" fontId="1" fillId="0" borderId="0" xfId="0" applyNumberFormat="1" applyFont="1"/>
    <xf numFmtId="171" fontId="1" fillId="0" borderId="0" xfId="0" applyNumberFormat="1" applyFont="1"/>
    <xf numFmtId="172" fontId="1" fillId="0" borderId="0" xfId="0" applyNumberFormat="1" applyFont="1"/>
    <xf numFmtId="0" fontId="140" fillId="0" borderId="108" xfId="0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171" fillId="0" borderId="0" xfId="0" applyFont="1" applyAlignment="1">
      <alignment horizontal="center" vertical="center" wrapText="1"/>
    </xf>
    <xf numFmtId="0" fontId="129" fillId="0" borderId="0" xfId="0" applyFont="1" applyAlignment="1">
      <alignment horizontal="center" vertical="center" wrapText="1"/>
    </xf>
    <xf numFmtId="0" fontId="100" fillId="18" borderId="0" xfId="0" applyFont="1" applyFill="1" applyAlignment="1">
      <alignment horizontal="center" vertical="center" wrapText="1"/>
    </xf>
    <xf numFmtId="0" fontId="102" fillId="3" borderId="72" xfId="0" applyFont="1" applyFill="1" applyBorder="1" applyAlignment="1">
      <alignment horizontal="center" vertical="center" wrapText="1"/>
    </xf>
    <xf numFmtId="0" fontId="102" fillId="3" borderId="15" xfId="0" applyFont="1" applyFill="1" applyBorder="1" applyAlignment="1">
      <alignment horizontal="center" vertical="center" wrapText="1"/>
    </xf>
    <xf numFmtId="0" fontId="102" fillId="0" borderId="72" xfId="0" applyFont="1" applyBorder="1" applyAlignment="1">
      <alignment horizontal="center" vertical="center" wrapText="1"/>
    </xf>
    <xf numFmtId="0" fontId="102" fillId="0" borderId="0" xfId="0" applyFont="1" applyAlignment="1">
      <alignment horizontal="center" vertical="center" wrapText="1"/>
    </xf>
    <xf numFmtId="0" fontId="172" fillId="32" borderId="72" xfId="0" applyFont="1" applyFill="1" applyBorder="1" applyAlignment="1">
      <alignment wrapText="1"/>
    </xf>
    <xf numFmtId="0" fontId="172" fillId="32" borderId="72" xfId="0" applyFont="1" applyFill="1" applyBorder="1" applyAlignment="1">
      <alignment horizontal="center" wrapText="1"/>
    </xf>
    <xf numFmtId="0" fontId="99" fillId="3" borderId="72" xfId="0" applyFont="1" applyFill="1" applyBorder="1" applyAlignment="1">
      <alignment horizontal="center" vertical="center" wrapText="1"/>
    </xf>
    <xf numFmtId="173" fontId="173" fillId="24" borderId="72" xfId="0" applyNumberFormat="1" applyFont="1" applyFill="1" applyBorder="1" applyAlignment="1">
      <alignment wrapText="1"/>
    </xf>
    <xf numFmtId="0" fontId="173" fillId="24" borderId="72" xfId="0" applyFont="1" applyFill="1" applyBorder="1" applyAlignment="1">
      <alignment horizontal="center" wrapText="1"/>
    </xf>
    <xf numFmtId="173" fontId="99" fillId="3" borderId="72" xfId="0" applyNumberFormat="1" applyFont="1" applyFill="1" applyBorder="1" applyAlignment="1">
      <alignment horizontal="center" vertical="center" wrapText="1"/>
    </xf>
    <xf numFmtId="3" fontId="174" fillId="3" borderId="72" xfId="0" applyNumberFormat="1" applyFont="1" applyFill="1" applyBorder="1" applyAlignment="1">
      <alignment horizontal="center" vertical="center" wrapText="1"/>
    </xf>
    <xf numFmtId="2" fontId="99" fillId="0" borderId="72" xfId="0" applyNumberFormat="1" applyFont="1" applyBorder="1" applyAlignment="1">
      <alignment horizontal="center" vertical="center" wrapText="1"/>
    </xf>
    <xf numFmtId="0" fontId="99" fillId="0" borderId="72" xfId="0" applyFont="1" applyBorder="1" applyAlignment="1">
      <alignment horizontal="center" vertical="center" wrapText="1"/>
    </xf>
    <xf numFmtId="0" fontId="173" fillId="3" borderId="72" xfId="0" applyFont="1" applyFill="1" applyBorder="1" applyAlignment="1">
      <alignment wrapText="1"/>
    </xf>
    <xf numFmtId="0" fontId="173" fillId="3" borderId="72" xfId="0" applyFont="1" applyFill="1" applyBorder="1" applyAlignment="1">
      <alignment horizontal="center" wrapText="1"/>
    </xf>
    <xf numFmtId="0" fontId="82" fillId="3" borderId="72" xfId="0" applyFont="1" applyFill="1" applyBorder="1"/>
    <xf numFmtId="0" fontId="173" fillId="24" borderId="72" xfId="0" applyFont="1" applyFill="1" applyBorder="1" applyAlignment="1">
      <alignment wrapText="1"/>
    </xf>
    <xf numFmtId="0" fontId="82" fillId="24" borderId="72" xfId="0" applyFont="1" applyFill="1" applyBorder="1"/>
    <xf numFmtId="173" fontId="99" fillId="33" borderId="15" xfId="0" applyNumberFormat="1" applyFont="1" applyFill="1" applyBorder="1" applyAlignment="1">
      <alignment horizontal="center" vertical="center" wrapText="1"/>
    </xf>
    <xf numFmtId="173" fontId="99" fillId="33" borderId="16" xfId="0" applyNumberFormat="1" applyFont="1" applyFill="1" applyBorder="1" applyAlignment="1">
      <alignment horizontal="center" vertical="center" wrapText="1"/>
    </xf>
    <xf numFmtId="173" fontId="99" fillId="33" borderId="17" xfId="0" applyNumberFormat="1" applyFont="1" applyFill="1" applyBorder="1" applyAlignment="1">
      <alignment horizontal="center" vertical="center" wrapText="1"/>
    </xf>
    <xf numFmtId="0" fontId="140" fillId="0" borderId="0" xfId="0" applyFont="1" applyAlignment="1">
      <alignment horizontal="center" vertical="center" wrapText="1"/>
    </xf>
    <xf numFmtId="0" fontId="175" fillId="0" borderId="0" xfId="0" applyFont="1" applyAlignment="1">
      <alignment vertical="center"/>
    </xf>
    <xf numFmtId="0" fontId="176" fillId="34" borderId="13" xfId="0" applyFont="1" applyFill="1" applyBorder="1" applyAlignment="1">
      <alignment vertical="center"/>
    </xf>
    <xf numFmtId="0" fontId="175" fillId="0" borderId="0" xfId="0" applyFont="1" applyAlignment="1">
      <alignment vertical="center" wrapText="1"/>
    </xf>
    <xf numFmtId="0" fontId="177" fillId="0" borderId="0" xfId="0" applyFont="1" applyAlignment="1">
      <alignment horizontal="center" vertical="center" wrapText="1"/>
    </xf>
    <xf numFmtId="0" fontId="112" fillId="0" borderId="0" xfId="0" applyFont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102" fillId="0" borderId="15" xfId="0" applyFont="1" applyBorder="1" applyAlignment="1">
      <alignment horizontal="left" vertical="center" wrapText="1"/>
    </xf>
    <xf numFmtId="0" fontId="102" fillId="0" borderId="0" xfId="0" applyFont="1" applyAlignment="1">
      <alignment horizontal="left" vertical="center" wrapText="1"/>
    </xf>
    <xf numFmtId="0" fontId="166" fillId="0" borderId="0" xfId="0" applyFont="1" applyAlignment="1">
      <alignment horizontal="left" vertical="center" wrapText="1"/>
    </xf>
    <xf numFmtId="14" fontId="101" fillId="0" borderId="0" xfId="0" applyNumberFormat="1" applyFont="1" applyAlignment="1">
      <alignment horizontal="center" vertical="center" wrapText="1"/>
    </xf>
    <xf numFmtId="0" fontId="125" fillId="0" borderId="72" xfId="0" applyFont="1" applyBorder="1" applyAlignment="1">
      <alignment horizontal="center" vertical="center" wrapText="1"/>
    </xf>
    <xf numFmtId="0" fontId="166" fillId="0" borderId="0" xfId="0" applyFont="1" applyAlignment="1">
      <alignment horizontal="center" vertical="center" wrapText="1"/>
    </xf>
    <xf numFmtId="1" fontId="179" fillId="0" borderId="0" xfId="0" applyNumberFormat="1" applyFont="1" applyAlignment="1">
      <alignment horizontal="center" vertical="center" wrapText="1"/>
    </xf>
    <xf numFmtId="1" fontId="101" fillId="0" borderId="0" xfId="0" applyNumberFormat="1" applyFont="1" applyAlignment="1">
      <alignment horizontal="center" vertical="center" wrapText="1"/>
    </xf>
    <xf numFmtId="0" fontId="175" fillId="0" borderId="0" xfId="0" applyFont="1" applyAlignment="1">
      <alignment horizontal="left" vertical="center" wrapText="1"/>
    </xf>
    <xf numFmtId="0" fontId="180" fillId="0" borderId="0" xfId="0" applyFont="1" applyAlignment="1">
      <alignment horizontal="left" vertical="center" wrapText="1"/>
    </xf>
    <xf numFmtId="174" fontId="101" fillId="0" borderId="0" xfId="0" applyNumberFormat="1" applyFont="1" applyAlignment="1">
      <alignment horizontal="center" vertical="center" wrapText="1"/>
    </xf>
    <xf numFmtId="0" fontId="100" fillId="0" borderId="72" xfId="0" applyFont="1" applyBorder="1" applyAlignment="1">
      <alignment horizontal="center" vertical="center" wrapText="1"/>
    </xf>
    <xf numFmtId="174" fontId="181" fillId="0" borderId="0" xfId="0" applyNumberFormat="1" applyFont="1" applyAlignment="1">
      <alignment horizontal="center" vertical="center" wrapText="1"/>
    </xf>
    <xf numFmtId="0" fontId="102" fillId="0" borderId="15" xfId="0" applyFont="1" applyBorder="1" applyAlignment="1">
      <alignment horizontal="center" vertical="center" wrapText="1"/>
    </xf>
    <xf numFmtId="0" fontId="182" fillId="0" borderId="27" xfId="0" applyFont="1" applyBorder="1" applyAlignment="1">
      <alignment horizontal="center" vertical="center" wrapText="1"/>
    </xf>
    <xf numFmtId="4" fontId="40" fillId="0" borderId="27" xfId="0" applyNumberFormat="1" applyFont="1" applyBorder="1" applyAlignment="1">
      <alignment horizontal="left" vertical="center" wrapText="1"/>
    </xf>
    <xf numFmtId="0" fontId="166" fillId="24" borderId="15" xfId="0" applyFont="1" applyFill="1" applyBorder="1" applyAlignment="1">
      <alignment horizontal="left" vertical="center" wrapText="1"/>
    </xf>
    <xf numFmtId="3" fontId="166" fillId="24" borderId="80" xfId="0" applyNumberFormat="1" applyFont="1" applyFill="1" applyBorder="1" applyAlignment="1">
      <alignment horizontal="center" vertical="center" wrapText="1"/>
    </xf>
    <xf numFmtId="174" fontId="142" fillId="0" borderId="0" xfId="0" applyNumberFormat="1" applyFont="1" applyAlignment="1">
      <alignment horizontal="right" vertical="center" wrapText="1"/>
    </xf>
    <xf numFmtId="14" fontId="181" fillId="0" borderId="0" xfId="0" applyNumberFormat="1" applyFont="1" applyAlignment="1">
      <alignment horizontal="center" vertical="center" wrapText="1"/>
    </xf>
    <xf numFmtId="14" fontId="183" fillId="0" borderId="0" xfId="0" applyNumberFormat="1" applyFont="1" applyAlignment="1">
      <alignment horizontal="right" vertical="center" wrapText="1"/>
    </xf>
    <xf numFmtId="0" fontId="102" fillId="0" borderId="72" xfId="0" applyFont="1" applyBorder="1" applyAlignment="1">
      <alignment horizontal="center" vertical="center"/>
    </xf>
    <xf numFmtId="4" fontId="142" fillId="0" borderId="0" xfId="0" applyNumberFormat="1" applyFont="1" applyAlignment="1">
      <alignment horizontal="right" vertical="center" wrapText="1"/>
    </xf>
    <xf numFmtId="0" fontId="102" fillId="0" borderId="25" xfId="0" applyFont="1" applyBorder="1" applyAlignment="1">
      <alignment horizontal="center" vertical="center"/>
    </xf>
    <xf numFmtId="0" fontId="186" fillId="0" borderId="111" xfId="0" applyFont="1" applyBorder="1" applyAlignment="1">
      <alignment horizontal="center" vertical="center"/>
    </xf>
    <xf numFmtId="3" fontId="101" fillId="0" borderId="0" xfId="0" applyNumberFormat="1" applyFont="1" applyAlignment="1">
      <alignment horizontal="center" vertical="center" wrapText="1"/>
    </xf>
    <xf numFmtId="0" fontId="102" fillId="0" borderId="63" xfId="0" applyFont="1" applyBorder="1" applyAlignment="1">
      <alignment horizontal="center" vertical="center"/>
    </xf>
    <xf numFmtId="4" fontId="101" fillId="0" borderId="0" xfId="0" applyNumberFormat="1" applyFont="1" applyAlignment="1">
      <alignment horizontal="right" vertical="center" wrapText="1"/>
    </xf>
    <xf numFmtId="0" fontId="187" fillId="0" borderId="0" xfId="0" applyFont="1" applyAlignment="1">
      <alignment horizontal="left" vertical="center" wrapText="1"/>
    </xf>
    <xf numFmtId="0" fontId="121" fillId="0" borderId="0" xfId="0" applyFont="1" applyAlignment="1">
      <alignment vertical="center" wrapText="1"/>
    </xf>
    <xf numFmtId="0" fontId="175" fillId="0" borderId="0" xfId="0" applyFont="1" applyAlignment="1">
      <alignment horizontal="left" vertical="center"/>
    </xf>
    <xf numFmtId="0" fontId="166" fillId="35" borderId="76" xfId="0" applyFont="1" applyFill="1" applyBorder="1" applyAlignment="1">
      <alignment horizontal="center" vertical="center" wrapText="1"/>
    </xf>
    <xf numFmtId="0" fontId="102" fillId="35" borderId="76" xfId="0" applyFont="1" applyFill="1" applyBorder="1" applyAlignment="1">
      <alignment horizontal="center" vertical="center" wrapText="1"/>
    </xf>
    <xf numFmtId="0" fontId="102" fillId="0" borderId="72" xfId="0" applyFont="1" applyBorder="1" applyAlignment="1">
      <alignment horizontal="left" vertical="center" wrapText="1"/>
    </xf>
    <xf numFmtId="3" fontId="102" fillId="0" borderId="72" xfId="0" applyNumberFormat="1" applyFont="1" applyBorder="1" applyAlignment="1">
      <alignment horizontal="left" vertical="center" wrapText="1"/>
    </xf>
    <xf numFmtId="0" fontId="121" fillId="0" borderId="72" xfId="0" applyFont="1" applyBorder="1" applyAlignment="1">
      <alignment horizontal="center" vertical="center" wrapText="1"/>
    </xf>
    <xf numFmtId="4" fontId="102" fillId="0" borderId="72" xfId="0" applyNumberFormat="1" applyFont="1" applyBorder="1" applyAlignment="1">
      <alignment vertical="center"/>
    </xf>
    <xf numFmtId="4" fontId="102" fillId="0" borderId="0" xfId="0" applyNumberFormat="1" applyFont="1" applyAlignment="1">
      <alignment vertical="center" wrapText="1"/>
    </xf>
    <xf numFmtId="10" fontId="121" fillId="0" borderId="72" xfId="0" applyNumberFormat="1" applyFont="1" applyBorder="1" applyAlignment="1">
      <alignment horizontal="center" vertical="center" wrapText="1"/>
    </xf>
    <xf numFmtId="10" fontId="121" fillId="0" borderId="72" xfId="0" applyNumberFormat="1" applyFont="1" applyBorder="1" applyAlignment="1">
      <alignment horizontal="center" vertical="center"/>
    </xf>
    <xf numFmtId="10" fontId="114" fillId="0" borderId="17" xfId="0" applyNumberFormat="1" applyFont="1" applyBorder="1" applyAlignment="1">
      <alignment horizontal="center" vertical="center"/>
    </xf>
    <xf numFmtId="4" fontId="166" fillId="0" borderId="16" xfId="0" applyNumberFormat="1" applyFont="1" applyBorder="1" applyAlignment="1">
      <alignment vertical="center" wrapText="1"/>
    </xf>
    <xf numFmtId="4" fontId="112" fillId="13" borderId="80" xfId="0" applyNumberFormat="1" applyFont="1" applyFill="1" applyBorder="1" applyAlignment="1">
      <alignment horizontal="center" vertical="center" wrapText="1"/>
    </xf>
    <xf numFmtId="4" fontId="166" fillId="0" borderId="17" xfId="0" applyNumberFormat="1" applyFont="1" applyBorder="1" applyAlignment="1">
      <alignment vertical="center" wrapText="1"/>
    </xf>
    <xf numFmtId="4" fontId="166" fillId="0" borderId="17" xfId="0" applyNumberFormat="1" applyFont="1" applyBorder="1" applyAlignment="1">
      <alignment horizontal="right" vertical="center" wrapText="1"/>
    </xf>
    <xf numFmtId="4" fontId="166" fillId="0" borderId="106" xfId="0" applyNumberFormat="1" applyFont="1" applyBorder="1" applyAlignment="1">
      <alignment horizontal="right" vertical="center" wrapText="1"/>
    </xf>
    <xf numFmtId="4" fontId="112" fillId="3" borderId="80" xfId="0" applyNumberFormat="1" applyFont="1" applyFill="1" applyBorder="1" applyAlignment="1">
      <alignment horizontal="center" vertical="center" wrapText="1"/>
    </xf>
    <xf numFmtId="4" fontId="102" fillId="0" borderId="72" xfId="0" applyNumberFormat="1" applyFont="1" applyBorder="1" applyAlignment="1">
      <alignment horizontal="center" vertical="center"/>
    </xf>
    <xf numFmtId="4" fontId="102" fillId="0" borderId="0" xfId="0" applyNumberFormat="1" applyFont="1" applyAlignment="1">
      <alignment horizontal="center" vertical="center" wrapText="1"/>
    </xf>
    <xf numFmtId="4" fontId="166" fillId="35" borderId="72" xfId="0" applyNumberFormat="1" applyFont="1" applyFill="1" applyBorder="1" applyAlignment="1">
      <alignment vertical="center"/>
    </xf>
    <xf numFmtId="4" fontId="166" fillId="0" borderId="0" xfId="0" applyNumberFormat="1" applyFont="1" applyAlignment="1">
      <alignment vertical="center" wrapText="1"/>
    </xf>
    <xf numFmtId="0" fontId="102" fillId="36" borderId="72" xfId="0" applyFont="1" applyFill="1" applyBorder="1" applyAlignment="1">
      <alignment horizontal="right" vertical="center" wrapText="1"/>
    </xf>
    <xf numFmtId="4" fontId="166" fillId="36" borderId="72" xfId="0" applyNumberFormat="1" applyFont="1" applyFill="1" applyBorder="1" applyAlignment="1">
      <alignment vertical="center"/>
    </xf>
    <xf numFmtId="4" fontId="125" fillId="35" borderId="72" xfId="0" applyNumberFormat="1" applyFont="1" applyFill="1" applyBorder="1" applyAlignment="1">
      <alignment horizontal="right" vertical="center" wrapText="1"/>
    </xf>
    <xf numFmtId="4" fontId="125" fillId="0" borderId="0" xfId="0" applyNumberFormat="1" applyFont="1" applyAlignment="1">
      <alignment horizontal="right" vertical="center" wrapText="1"/>
    </xf>
    <xf numFmtId="0" fontId="102" fillId="0" borderId="0" xfId="0" applyFont="1" applyAlignment="1">
      <alignment horizontal="right" vertical="center" wrapText="1"/>
    </xf>
    <xf numFmtId="0" fontId="140" fillId="0" borderId="0" xfId="0" applyFont="1" applyAlignment="1">
      <alignment horizontal="left" vertical="center" wrapText="1"/>
    </xf>
    <xf numFmtId="0" fontId="141" fillId="0" borderId="0" xfId="0" applyFont="1" applyAlignment="1">
      <alignment horizontal="left" vertical="center" wrapText="1"/>
    </xf>
    <xf numFmtId="0" fontId="158" fillId="0" borderId="0" xfId="0" applyFont="1" applyAlignment="1">
      <alignment horizontal="left" vertical="center" wrapText="1"/>
    </xf>
    <xf numFmtId="0" fontId="158" fillId="0" borderId="72" xfId="0" applyFont="1" applyBorder="1" applyAlignment="1">
      <alignment horizontal="center" vertical="center"/>
    </xf>
    <xf numFmtId="0" fontId="158" fillId="0" borderId="72" xfId="0" applyFont="1" applyBorder="1" applyAlignment="1">
      <alignment horizontal="center" vertical="center" wrapText="1"/>
    </xf>
    <xf numFmtId="0" fontId="158" fillId="0" borderId="0" xfId="0" applyFont="1" applyAlignment="1">
      <alignment horizontal="center" vertical="center" wrapText="1"/>
    </xf>
    <xf numFmtId="10" fontId="158" fillId="0" borderId="72" xfId="0" applyNumberFormat="1" applyFont="1" applyBorder="1" applyAlignment="1">
      <alignment horizontal="center" vertical="center"/>
    </xf>
    <xf numFmtId="2" fontId="100" fillId="0" borderId="72" xfId="0" applyNumberFormat="1" applyFont="1" applyBorder="1" applyAlignment="1">
      <alignment horizontal="right" vertical="center" wrapText="1"/>
    </xf>
    <xf numFmtId="2" fontId="100" fillId="0" borderId="0" xfId="0" applyNumberFormat="1" applyFont="1" applyAlignment="1">
      <alignment horizontal="right" vertical="center" wrapText="1"/>
    </xf>
    <xf numFmtId="175" fontId="158" fillId="0" borderId="72" xfId="0" applyNumberFormat="1" applyFont="1" applyBorder="1" applyAlignment="1">
      <alignment horizontal="center" vertical="center"/>
    </xf>
    <xf numFmtId="4" fontId="102" fillId="35" borderId="72" xfId="0" applyNumberFormat="1" applyFont="1" applyFill="1" applyBorder="1" applyAlignment="1">
      <alignment horizontal="right" vertical="center"/>
    </xf>
    <xf numFmtId="4" fontId="102" fillId="0" borderId="0" xfId="0" applyNumberFormat="1" applyFont="1" applyAlignment="1">
      <alignment horizontal="right" vertical="center" wrapText="1"/>
    </xf>
    <xf numFmtId="0" fontId="141" fillId="0" borderId="0" xfId="0" applyFont="1" applyAlignment="1">
      <alignment horizontal="right" vertical="center" wrapText="1"/>
    </xf>
    <xf numFmtId="0" fontId="158" fillId="35" borderId="81" xfId="0" applyFont="1" applyFill="1" applyBorder="1" applyAlignment="1">
      <alignment horizontal="center" vertical="center"/>
    </xf>
    <xf numFmtId="0" fontId="100" fillId="35" borderId="72" xfId="0" applyFont="1" applyFill="1" applyBorder="1" applyAlignment="1">
      <alignment horizontal="center" vertical="center" wrapText="1"/>
    </xf>
    <xf numFmtId="0" fontId="158" fillId="35" borderId="72" xfId="0" applyFont="1" applyFill="1" applyBorder="1" applyAlignment="1">
      <alignment horizontal="center" vertical="center" wrapText="1"/>
    </xf>
    <xf numFmtId="0" fontId="102" fillId="0" borderId="15" xfId="0" applyFont="1" applyBorder="1" applyAlignment="1">
      <alignment horizontal="center" vertical="center"/>
    </xf>
    <xf numFmtId="10" fontId="102" fillId="0" borderId="72" xfId="0" applyNumberFormat="1" applyFont="1" applyBorder="1" applyAlignment="1">
      <alignment horizontal="right" vertical="center"/>
    </xf>
    <xf numFmtId="4" fontId="102" fillId="0" borderId="72" xfId="0" applyNumberFormat="1" applyFont="1" applyBorder="1" applyAlignment="1">
      <alignment horizontal="right" vertical="center"/>
    </xf>
    <xf numFmtId="9" fontId="102" fillId="0" borderId="17" xfId="0" applyNumberFormat="1" applyFont="1" applyBorder="1" applyAlignment="1">
      <alignment horizontal="center" vertical="center" wrapText="1"/>
    </xf>
    <xf numFmtId="176" fontId="102" fillId="0" borderId="17" xfId="0" applyNumberFormat="1" applyFont="1" applyBorder="1" applyAlignment="1">
      <alignment horizontal="center" vertical="center" wrapText="1"/>
    </xf>
    <xf numFmtId="177" fontId="102" fillId="0" borderId="72" xfId="0" applyNumberFormat="1" applyFont="1" applyBorder="1" applyAlignment="1">
      <alignment horizontal="right" vertical="center"/>
    </xf>
    <xf numFmtId="177" fontId="102" fillId="35" borderId="72" xfId="0" applyNumberFormat="1" applyFont="1" applyFill="1" applyBorder="1" applyAlignment="1">
      <alignment horizontal="right" vertical="center"/>
    </xf>
    <xf numFmtId="0" fontId="102" fillId="36" borderId="81" xfId="0" applyFont="1" applyFill="1" applyBorder="1" applyAlignment="1">
      <alignment horizontal="right" vertical="center"/>
    </xf>
    <xf numFmtId="0" fontId="8" fillId="36" borderId="69" xfId="0" applyFont="1" applyFill="1" applyBorder="1" applyAlignment="1">
      <alignment horizontal="right" vertical="center"/>
    </xf>
    <xf numFmtId="10" fontId="102" fillId="36" borderId="69" xfId="0" applyNumberFormat="1" applyFont="1" applyFill="1" applyBorder="1" applyAlignment="1">
      <alignment horizontal="right" vertical="center"/>
    </xf>
    <xf numFmtId="4" fontId="102" fillId="36" borderId="80" xfId="0" applyNumberFormat="1" applyFont="1" applyFill="1" applyBorder="1" applyAlignment="1">
      <alignment horizontal="right" vertical="center"/>
    </xf>
    <xf numFmtId="0" fontId="166" fillId="35" borderId="72" xfId="0" applyFont="1" applyFill="1" applyBorder="1" applyAlignment="1">
      <alignment horizontal="center" vertical="center"/>
    </xf>
    <xf numFmtId="0" fontId="166" fillId="35" borderId="72" xfId="0" applyFont="1" applyFill="1" applyBorder="1" applyAlignment="1">
      <alignment horizontal="center" vertical="center" wrapText="1"/>
    </xf>
    <xf numFmtId="4" fontId="102" fillId="0" borderId="15" xfId="0" applyNumberFormat="1" applyFont="1" applyBorder="1" applyAlignment="1">
      <alignment horizontal="left" vertical="center" wrapText="1"/>
    </xf>
    <xf numFmtId="4" fontId="102" fillId="0" borderId="25" xfId="0" applyNumberFormat="1" applyFont="1" applyBorder="1" applyAlignment="1">
      <alignment horizontal="right" vertical="center"/>
    </xf>
    <xf numFmtId="174" fontId="101" fillId="0" borderId="72" xfId="0" applyNumberFormat="1" applyFont="1" applyBorder="1" applyAlignment="1">
      <alignment vertical="center"/>
    </xf>
    <xf numFmtId="4" fontId="129" fillId="0" borderId="29" xfId="0" applyNumberFormat="1" applyFont="1" applyBorder="1" applyAlignment="1">
      <alignment horizontal="center" vertical="center"/>
    </xf>
    <xf numFmtId="3" fontId="101" fillId="0" borderId="72" xfId="0" applyNumberFormat="1" applyFont="1" applyBorder="1" applyAlignment="1">
      <alignment vertical="center"/>
    </xf>
    <xf numFmtId="2" fontId="142" fillId="0" borderId="16" xfId="0" applyNumberFormat="1" applyFont="1" applyBorder="1" applyAlignment="1">
      <alignment horizontal="center" vertical="center" wrapText="1"/>
    </xf>
    <xf numFmtId="169" fontId="101" fillId="0" borderId="72" xfId="0" applyNumberFormat="1" applyFont="1" applyBorder="1" applyAlignment="1">
      <alignment vertical="center"/>
    </xf>
    <xf numFmtId="10" fontId="101" fillId="0" borderId="17" xfId="0" applyNumberFormat="1" applyFont="1" applyBorder="1" applyAlignment="1">
      <alignment vertical="center"/>
    </xf>
    <xf numFmtId="4" fontId="129" fillId="0" borderId="63" xfId="0" applyNumberFormat="1" applyFont="1" applyBorder="1" applyAlignment="1">
      <alignment horizontal="center" vertical="center"/>
    </xf>
    <xf numFmtId="174" fontId="101" fillId="0" borderId="15" xfId="0" applyNumberFormat="1" applyFont="1" applyBorder="1" applyAlignment="1">
      <alignment vertical="center"/>
    </xf>
    <xf numFmtId="4" fontId="102" fillId="0" borderId="29" xfId="0" applyNumberFormat="1" applyFont="1" applyBorder="1" applyAlignment="1">
      <alignment horizontal="center" vertical="center"/>
    </xf>
    <xf numFmtId="169" fontId="101" fillId="0" borderId="109" xfId="0" applyNumberFormat="1" applyFont="1" applyBorder="1" applyAlignment="1">
      <alignment vertical="center"/>
    </xf>
    <xf numFmtId="4" fontId="102" fillId="0" borderId="106" xfId="0" applyNumberFormat="1" applyFont="1" applyBorder="1" applyAlignment="1">
      <alignment horizontal="center" vertical="center"/>
    </xf>
    <xf numFmtId="4" fontId="102" fillId="0" borderId="63" xfId="0" applyNumberFormat="1" applyFont="1" applyBorder="1" applyAlignment="1">
      <alignment horizontal="right" vertical="center"/>
    </xf>
    <xf numFmtId="0" fontId="102" fillId="3" borderId="72" xfId="0" applyFont="1" applyFill="1" applyBorder="1" applyAlignment="1">
      <alignment horizontal="center" vertical="center"/>
    </xf>
    <xf numFmtId="4" fontId="121" fillId="3" borderId="72" xfId="0" applyNumberFormat="1" applyFont="1" applyFill="1" applyBorder="1" applyAlignment="1">
      <alignment horizontal="right" vertical="center" wrapText="1"/>
    </xf>
    <xf numFmtId="0" fontId="102" fillId="35" borderId="72" xfId="0" applyFont="1" applyFill="1" applyBorder="1" applyAlignment="1">
      <alignment horizontal="center" vertical="center"/>
    </xf>
    <xf numFmtId="4" fontId="100" fillId="0" borderId="72" xfId="0" applyNumberFormat="1" applyFont="1" applyBorder="1" applyAlignment="1">
      <alignment horizontal="right" vertical="center" wrapText="1"/>
    </xf>
    <xf numFmtId="4" fontId="100" fillId="0" borderId="0" xfId="0" applyNumberFormat="1" applyFont="1" applyAlignment="1">
      <alignment horizontal="right" vertical="center" wrapText="1"/>
    </xf>
    <xf numFmtId="4" fontId="100" fillId="35" borderId="72" xfId="0" applyNumberFormat="1" applyFont="1" applyFill="1" applyBorder="1" applyAlignment="1">
      <alignment horizontal="right" vertical="center" wrapText="1"/>
    </xf>
    <xf numFmtId="0" fontId="192" fillId="0" borderId="0" xfId="0" applyFont="1" applyAlignment="1">
      <alignment horizontal="center" vertical="center" wrapText="1"/>
    </xf>
    <xf numFmtId="0" fontId="121" fillId="0" borderId="0" xfId="0" applyFont="1" applyAlignment="1">
      <alignment horizontal="left" vertical="center" wrapText="1"/>
    </xf>
    <xf numFmtId="4" fontId="102" fillId="37" borderId="72" xfId="0" applyNumberFormat="1" applyFont="1" applyFill="1" applyBorder="1" applyAlignment="1">
      <alignment horizontal="right" vertical="center"/>
    </xf>
    <xf numFmtId="0" fontId="142" fillId="0" borderId="17" xfId="0" applyFont="1" applyBorder="1" applyAlignment="1">
      <alignment horizontal="center" vertical="center" wrapText="1"/>
    </xf>
    <xf numFmtId="10" fontId="193" fillId="0" borderId="72" xfId="0" applyNumberFormat="1" applyFont="1" applyBorder="1" applyAlignment="1">
      <alignment horizontal="right" vertical="center"/>
    </xf>
    <xf numFmtId="0" fontId="194" fillId="0" borderId="72" xfId="0" applyFont="1" applyBorder="1" applyAlignment="1">
      <alignment horizontal="right" vertical="center" wrapText="1"/>
    </xf>
    <xf numFmtId="4" fontId="195" fillId="0" borderId="72" xfId="0" applyNumberFormat="1" applyFont="1" applyBorder="1" applyAlignment="1">
      <alignment horizontal="center" vertical="center" wrapText="1"/>
    </xf>
    <xf numFmtId="0" fontId="193" fillId="10" borderId="72" xfId="0" applyFont="1" applyFill="1" applyBorder="1" applyAlignment="1">
      <alignment horizontal="center" vertical="center" wrapText="1"/>
    </xf>
    <xf numFmtId="4" fontId="121" fillId="0" borderId="72" xfId="0" applyNumberFormat="1" applyFont="1" applyBorder="1" applyAlignment="1">
      <alignment horizontal="right" vertical="center" wrapText="1"/>
    </xf>
    <xf numFmtId="4" fontId="121" fillId="0" borderId="0" xfId="0" applyNumberFormat="1" applyFont="1" applyAlignment="1">
      <alignment horizontal="right" vertical="center" wrapText="1"/>
    </xf>
    <xf numFmtId="0" fontId="19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66" fillId="35" borderId="117" xfId="0" applyFont="1" applyFill="1" applyBorder="1" applyAlignment="1">
      <alignment horizontal="center" vertical="center"/>
    </xf>
    <xf numFmtId="175" fontId="166" fillId="0" borderId="72" xfId="0" applyNumberFormat="1" applyFont="1" applyBorder="1" applyAlignment="1">
      <alignment horizontal="center" vertical="center" wrapText="1"/>
    </xf>
    <xf numFmtId="10" fontId="158" fillId="0" borderId="15" xfId="0" applyNumberFormat="1" applyFont="1" applyBorder="1" applyAlignment="1">
      <alignment horizontal="center" vertical="center" wrapText="1"/>
    </xf>
    <xf numFmtId="2" fontId="47" fillId="0" borderId="72" xfId="0" applyNumberFormat="1" applyFont="1" applyBorder="1" applyAlignment="1">
      <alignment vertical="center"/>
    </xf>
    <xf numFmtId="0" fontId="102" fillId="28" borderId="72" xfId="0" applyFont="1" applyFill="1" applyBorder="1" applyAlignment="1">
      <alignment horizontal="center" vertical="center"/>
    </xf>
    <xf numFmtId="4" fontId="104" fillId="28" borderId="72" xfId="0" applyNumberFormat="1" applyFont="1" applyFill="1" applyBorder="1" applyAlignment="1">
      <alignment horizontal="right" vertical="center"/>
    </xf>
    <xf numFmtId="4" fontId="102" fillId="3" borderId="72" xfId="0" applyNumberFormat="1" applyFont="1" applyFill="1" applyBorder="1" applyAlignment="1">
      <alignment horizontal="right" vertical="center"/>
    </xf>
    <xf numFmtId="0" fontId="158" fillId="35" borderId="72" xfId="0" applyFont="1" applyFill="1" applyBorder="1" applyAlignment="1">
      <alignment horizontal="center" vertical="center"/>
    </xf>
    <xf numFmtId="4" fontId="158" fillId="35" borderId="72" xfId="0" applyNumberFormat="1" applyFont="1" applyFill="1" applyBorder="1" applyAlignment="1">
      <alignment horizontal="center" vertical="center"/>
    </xf>
    <xf numFmtId="4" fontId="158" fillId="0" borderId="0" xfId="0" applyNumberFormat="1" applyFont="1" applyAlignment="1">
      <alignment horizontal="center" vertical="center" wrapText="1"/>
    </xf>
    <xf numFmtId="0" fontId="100" fillId="0" borderId="72" xfId="0" applyFont="1" applyBorder="1" applyAlignment="1">
      <alignment horizontal="center" vertical="center"/>
    </xf>
    <xf numFmtId="4" fontId="100" fillId="0" borderId="72" xfId="0" applyNumberFormat="1" applyFont="1" applyBorder="1" applyAlignment="1">
      <alignment horizontal="right" vertical="center"/>
    </xf>
    <xf numFmtId="4" fontId="100" fillId="35" borderId="72" xfId="0" applyNumberFormat="1" applyFont="1" applyFill="1" applyBorder="1" applyAlignment="1">
      <alignment horizontal="right" vertical="center"/>
    </xf>
    <xf numFmtId="0" fontId="100" fillId="0" borderId="0" xfId="0" applyFont="1" applyAlignment="1">
      <alignment horizontal="right" vertical="center" wrapText="1"/>
    </xf>
    <xf numFmtId="4" fontId="99" fillId="0" borderId="72" xfId="0" applyNumberFormat="1" applyFont="1" applyBorder="1" applyAlignment="1">
      <alignment horizontal="right" vertical="center"/>
    </xf>
    <xf numFmtId="4" fontId="99" fillId="0" borderId="72" xfId="0" applyNumberFormat="1" applyFont="1" applyBorder="1" applyAlignment="1">
      <alignment horizontal="right" vertical="center" wrapText="1"/>
    </xf>
    <xf numFmtId="4" fontId="99" fillId="3" borderId="72" xfId="0" applyNumberFormat="1" applyFont="1" applyFill="1" applyBorder="1" applyAlignment="1">
      <alignment horizontal="right" vertical="center"/>
    </xf>
    <xf numFmtId="4" fontId="102" fillId="3" borderId="0" xfId="0" applyNumberFormat="1" applyFont="1" applyFill="1" applyAlignment="1">
      <alignment horizontal="right" vertical="center" wrapText="1"/>
    </xf>
    <xf numFmtId="4" fontId="102" fillId="35" borderId="72" xfId="0" applyNumberFormat="1" applyFont="1" applyFill="1" applyBorder="1" applyAlignment="1">
      <alignment horizontal="right" vertical="center" wrapText="1"/>
    </xf>
    <xf numFmtId="0" fontId="125" fillId="0" borderId="0" xfId="0" applyFont="1" applyAlignment="1">
      <alignment horizontal="center" vertical="center" wrapText="1"/>
    </xf>
    <xf numFmtId="0" fontId="125" fillId="36" borderId="81" xfId="0" applyFont="1" applyFill="1" applyBorder="1" applyAlignment="1">
      <alignment horizontal="center" vertical="center"/>
    </xf>
    <xf numFmtId="0" fontId="8" fillId="36" borderId="69" xfId="0" applyFont="1" applyFill="1" applyBorder="1" applyAlignment="1">
      <alignment horizontal="center" vertical="center"/>
    </xf>
    <xf numFmtId="0" fontId="8" fillId="36" borderId="8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2" fillId="35" borderId="72" xfId="0" applyFont="1" applyFill="1" applyBorder="1" applyAlignment="1">
      <alignment horizontal="center" vertical="center" wrapText="1"/>
    </xf>
    <xf numFmtId="4" fontId="166" fillId="35" borderId="72" xfId="0" applyNumberFormat="1" applyFont="1" applyFill="1" applyBorder="1" applyAlignment="1">
      <alignment horizontal="center" vertical="center" wrapText="1"/>
    </xf>
    <xf numFmtId="4" fontId="166" fillId="0" borderId="0" xfId="0" applyNumberFormat="1" applyFont="1" applyAlignment="1">
      <alignment horizontal="center" vertical="center" wrapText="1"/>
    </xf>
    <xf numFmtId="4" fontId="101" fillId="0" borderId="72" xfId="0" applyNumberFormat="1" applyFont="1" applyBorder="1" applyAlignment="1">
      <alignment horizontal="right" vertical="center"/>
    </xf>
    <xf numFmtId="4" fontId="47" fillId="0" borderId="0" xfId="0" applyNumberFormat="1" applyFont="1"/>
    <xf numFmtId="10" fontId="101" fillId="0" borderId="72" xfId="0" applyNumberFormat="1" applyFont="1" applyBorder="1" applyAlignment="1">
      <alignment horizontal="center" vertical="center"/>
    </xf>
    <xf numFmtId="4" fontId="15" fillId="0" borderId="0" xfId="0" applyNumberFormat="1" applyFont="1"/>
    <xf numFmtId="0" fontId="121" fillId="0" borderId="72" xfId="0" applyFont="1" applyBorder="1" applyAlignment="1">
      <alignment horizontal="center" vertical="center"/>
    </xf>
    <xf numFmtId="10" fontId="102" fillId="0" borderId="72" xfId="0" applyNumberFormat="1" applyFont="1" applyBorder="1" applyAlignment="1">
      <alignment horizontal="center" vertical="center"/>
    </xf>
    <xf numFmtId="10" fontId="102" fillId="0" borderId="72" xfId="0" applyNumberFormat="1" applyFont="1" applyBorder="1" applyAlignment="1">
      <alignment horizontal="center" vertical="center" wrapText="1"/>
    </xf>
    <xf numFmtId="10" fontId="102" fillId="0" borderId="72" xfId="0" applyNumberFormat="1" applyFont="1" applyBorder="1" applyAlignment="1">
      <alignment horizontal="right" vertical="center" wrapText="1"/>
    </xf>
    <xf numFmtId="10" fontId="101" fillId="0" borderId="72" xfId="0" applyNumberFormat="1" applyFont="1" applyBorder="1" applyAlignment="1">
      <alignment horizontal="right" vertical="center"/>
    </xf>
    <xf numFmtId="0" fontId="189" fillId="0" borderId="0" xfId="0" applyFont="1" applyAlignment="1">
      <alignment horizontal="left" vertical="center"/>
    </xf>
    <xf numFmtId="0" fontId="189" fillId="0" borderId="0" xfId="0" applyFont="1" applyAlignment="1">
      <alignment horizontal="left" vertical="center" wrapText="1"/>
    </xf>
    <xf numFmtId="0" fontId="189" fillId="0" borderId="0" xfId="0" applyFont="1" applyAlignment="1">
      <alignment horizontal="center" vertical="center"/>
    </xf>
    <xf numFmtId="0" fontId="189" fillId="0" borderId="0" xfId="0" applyFont="1" applyAlignment="1">
      <alignment horizontal="center" vertical="center" wrapText="1"/>
    </xf>
    <xf numFmtId="0" fontId="197" fillId="0" borderId="0" xfId="0" applyFont="1" applyAlignment="1">
      <alignment vertical="center" wrapText="1"/>
    </xf>
    <xf numFmtId="49" fontId="102" fillId="0" borderId="72" xfId="0" applyNumberFormat="1" applyFont="1" applyBorder="1" applyAlignment="1">
      <alignment horizontal="center" vertical="center" wrapText="1"/>
    </xf>
    <xf numFmtId="4" fontId="102" fillId="0" borderId="72" xfId="0" applyNumberFormat="1" applyFont="1" applyBorder="1" applyAlignment="1">
      <alignment horizontal="right" vertical="center" wrapText="1"/>
    </xf>
    <xf numFmtId="49" fontId="102" fillId="0" borderId="15" xfId="0" applyNumberFormat="1" applyFont="1" applyBorder="1" applyAlignment="1">
      <alignment horizontal="center" vertical="center" wrapText="1"/>
    </xf>
    <xf numFmtId="4" fontId="198" fillId="35" borderId="72" xfId="0" applyNumberFormat="1" applyFont="1" applyFill="1" applyBorder="1" applyAlignment="1">
      <alignment horizontal="right" vertical="center" wrapText="1"/>
    </xf>
    <xf numFmtId="49" fontId="102" fillId="0" borderId="0" xfId="0" applyNumberFormat="1" applyFont="1" applyAlignment="1">
      <alignment horizontal="left" vertical="center" wrapText="1"/>
    </xf>
    <xf numFmtId="0" fontId="102" fillId="0" borderId="98" xfId="0" applyFont="1" applyBorder="1" applyAlignment="1">
      <alignment horizontal="left" vertical="center" wrapText="1"/>
    </xf>
    <xf numFmtId="178" fontId="101" fillId="0" borderId="0" xfId="0" applyNumberFormat="1" applyFont="1" applyAlignment="1">
      <alignment horizontal="left" vertical="center"/>
    </xf>
    <xf numFmtId="178" fontId="101" fillId="3" borderId="118" xfId="0" applyNumberFormat="1" applyFont="1" applyFill="1" applyBorder="1" applyAlignment="1">
      <alignment horizontal="left" vertical="center"/>
    </xf>
    <xf numFmtId="178" fontId="101" fillId="0" borderId="0" xfId="0" applyNumberFormat="1" applyFont="1" applyAlignment="1">
      <alignment horizontal="left" vertical="center" wrapText="1"/>
    </xf>
    <xf numFmtId="0" fontId="102" fillId="35" borderId="81" xfId="0" applyFont="1" applyFill="1" applyBorder="1" applyAlignment="1">
      <alignment horizontal="center" vertical="center" wrapText="1"/>
    </xf>
    <xf numFmtId="0" fontId="102" fillId="35" borderId="80" xfId="0" applyFont="1" applyFill="1" applyBorder="1" applyAlignment="1">
      <alignment horizontal="center" vertical="center" wrapText="1"/>
    </xf>
    <xf numFmtId="0" fontId="200" fillId="10" borderId="72" xfId="0" applyFont="1" applyFill="1" applyBorder="1" applyAlignment="1">
      <alignment horizontal="center" vertical="center" wrapText="1"/>
    </xf>
    <xf numFmtId="3" fontId="142" fillId="10" borderId="72" xfId="0" applyNumberFormat="1" applyFont="1" applyFill="1" applyBorder="1" applyAlignment="1">
      <alignment horizontal="center" vertical="center" wrapText="1"/>
    </xf>
    <xf numFmtId="3" fontId="142" fillId="10" borderId="117" xfId="0" applyNumberFormat="1" applyFont="1" applyFill="1" applyBorder="1" applyAlignment="1">
      <alignment horizontal="center" vertical="center" wrapText="1"/>
    </xf>
    <xf numFmtId="4" fontId="125" fillId="0" borderId="16" xfId="0" applyNumberFormat="1" applyFont="1" applyBorder="1" applyAlignment="1">
      <alignment horizontal="center" vertical="center" wrapText="1"/>
    </xf>
    <xf numFmtId="3" fontId="201" fillId="0" borderId="15" xfId="0" applyNumberFormat="1" applyFont="1" applyBorder="1" applyAlignment="1">
      <alignment horizontal="center" vertical="center" wrapText="1"/>
    </xf>
    <xf numFmtId="0" fontId="65" fillId="10" borderId="117" xfId="0" applyFont="1" applyFill="1" applyBorder="1" applyAlignment="1">
      <alignment vertical="center"/>
    </xf>
    <xf numFmtId="4" fontId="181" fillId="10" borderId="0" xfId="0" applyNumberFormat="1" applyFont="1" applyFill="1" applyAlignment="1">
      <alignment horizontal="center" vertical="center" wrapText="1"/>
    </xf>
    <xf numFmtId="3" fontId="142" fillId="10" borderId="119" xfId="0" applyNumberFormat="1" applyFont="1" applyFill="1" applyBorder="1" applyAlignment="1">
      <alignment horizontal="center" vertical="center" wrapText="1"/>
    </xf>
    <xf numFmtId="3" fontId="202" fillId="10" borderId="7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4" fontId="151" fillId="0" borderId="0" xfId="0" applyNumberFormat="1" applyFont="1" applyAlignment="1">
      <alignment horizontal="center" vertical="center" wrapText="1"/>
    </xf>
    <xf numFmtId="0" fontId="151" fillId="0" borderId="0" xfId="0" applyFont="1" applyAlignment="1">
      <alignment horizontal="center" vertical="center" wrapText="1"/>
    </xf>
    <xf numFmtId="0" fontId="125" fillId="0" borderId="0" xfId="0" applyFont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203" fillId="9" borderId="0" xfId="0" applyFont="1" applyFill="1" applyAlignment="1">
      <alignment vertical="center"/>
    </xf>
    <xf numFmtId="0" fontId="204" fillId="9" borderId="0" xfId="0" applyFont="1" applyFill="1" applyAlignment="1">
      <alignment vertical="center"/>
    </xf>
    <xf numFmtId="0" fontId="205" fillId="9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4" fontId="112" fillId="37" borderId="80" xfId="0" applyNumberFormat="1" applyFont="1" applyFill="1" applyBorder="1" applyAlignment="1">
      <alignment horizontal="center" vertical="center" wrapText="1"/>
    </xf>
    <xf numFmtId="0" fontId="206" fillId="0" borderId="0" xfId="0" applyFont="1" applyAlignment="1">
      <alignment vertical="center" wrapText="1"/>
    </xf>
    <xf numFmtId="179" fontId="207" fillId="0" borderId="72" xfId="0" applyNumberFormat="1" applyFont="1" applyBorder="1" applyAlignment="1">
      <alignment horizontal="center" vertical="center"/>
    </xf>
    <xf numFmtId="0" fontId="207" fillId="0" borderId="72" xfId="0" applyFont="1" applyBorder="1" applyAlignment="1">
      <alignment horizontal="center" vertical="center"/>
    </xf>
    <xf numFmtId="10" fontId="207" fillId="0" borderId="72" xfId="0" applyNumberFormat="1" applyFont="1" applyBorder="1" applyAlignment="1">
      <alignment horizontal="center" vertical="center"/>
    </xf>
    <xf numFmtId="0" fontId="207" fillId="35" borderId="72" xfId="0" applyFont="1" applyFill="1" applyBorder="1" applyAlignment="1">
      <alignment horizontal="center" vertical="center"/>
    </xf>
    <xf numFmtId="0" fontId="208" fillId="0" borderId="72" xfId="0" applyFont="1" applyBorder="1" applyAlignment="1">
      <alignment horizontal="center" vertical="center"/>
    </xf>
    <xf numFmtId="0" fontId="183" fillId="0" borderId="17" xfId="0" applyFont="1" applyBorder="1" applyAlignment="1">
      <alignment horizontal="center" vertical="center"/>
    </xf>
    <xf numFmtId="10" fontId="183" fillId="0" borderId="72" xfId="0" applyNumberFormat="1" applyFont="1" applyBorder="1" applyAlignment="1">
      <alignment horizontal="right" vertical="center"/>
    </xf>
    <xf numFmtId="0" fontId="193" fillId="10" borderId="72" xfId="0" quotePrefix="1" applyFont="1" applyFill="1" applyBorder="1" applyAlignment="1">
      <alignment horizontal="center" vertical="center" wrapText="1"/>
    </xf>
    <xf numFmtId="0" fontId="209" fillId="0" borderId="72" xfId="0" applyFont="1" applyBorder="1" applyAlignment="1">
      <alignment horizontal="center" vertical="center"/>
    </xf>
    <xf numFmtId="10" fontId="166" fillId="0" borderId="15" xfId="0" applyNumberFormat="1" applyFont="1" applyBorder="1" applyAlignment="1">
      <alignment horizontal="center" vertical="center" wrapText="1"/>
    </xf>
    <xf numFmtId="2" fontId="47" fillId="3" borderId="72" xfId="0" applyNumberFormat="1" applyFont="1" applyFill="1" applyBorder="1" applyAlignment="1">
      <alignment horizontal="right" vertical="center"/>
    </xf>
    <xf numFmtId="4" fontId="209" fillId="0" borderId="63" xfId="0" applyNumberFormat="1" applyFont="1" applyBorder="1" applyAlignment="1">
      <alignment horizontal="right" vertical="center"/>
    </xf>
    <xf numFmtId="4" fontId="209" fillId="0" borderId="72" xfId="0" applyNumberFormat="1" applyFont="1" applyBorder="1" applyAlignment="1">
      <alignment horizontal="right" vertical="center"/>
    </xf>
    <xf numFmtId="0" fontId="209" fillId="3" borderId="72" xfId="0" applyFont="1" applyFill="1" applyBorder="1" applyAlignment="1">
      <alignment horizontal="center" vertical="center"/>
    </xf>
    <xf numFmtId="4" fontId="166" fillId="3" borderId="72" xfId="0" applyNumberFormat="1" applyFont="1" applyFill="1" applyBorder="1" applyAlignment="1">
      <alignment horizontal="right" vertical="center"/>
    </xf>
    <xf numFmtId="4" fontId="209" fillId="3" borderId="72" xfId="0" applyNumberFormat="1" applyFont="1" applyFill="1" applyBorder="1" applyAlignment="1">
      <alignment horizontal="right" vertical="center"/>
    </xf>
    <xf numFmtId="4" fontId="209" fillId="35" borderId="72" xfId="0" applyNumberFormat="1" applyFont="1" applyFill="1" applyBorder="1" applyAlignment="1">
      <alignment horizontal="right" vertical="center"/>
    </xf>
    <xf numFmtId="4" fontId="186" fillId="10" borderId="72" xfId="0" applyNumberFormat="1" applyFont="1" applyFill="1" applyBorder="1" applyAlignment="1">
      <alignment horizontal="right" vertical="center" wrapText="1"/>
    </xf>
    <xf numFmtId="0" fontId="210" fillId="9" borderId="0" xfId="0" applyFont="1" applyFill="1" applyAlignment="1">
      <alignment vertical="center"/>
    </xf>
    <xf numFmtId="0" fontId="211" fillId="9" borderId="0" xfId="0" applyFont="1" applyFill="1" applyAlignment="1">
      <alignment vertical="center"/>
    </xf>
    <xf numFmtId="0" fontId="158" fillId="0" borderId="0" xfId="0" applyFont="1" applyAlignment="1">
      <alignment horizontal="left" vertical="center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80" xfId="0" applyFont="1" applyFill="1" applyBorder="1" applyAlignment="1">
      <alignment horizontal="center" vertical="center" wrapText="1"/>
    </xf>
    <xf numFmtId="0" fontId="175" fillId="3" borderId="123" xfId="0" applyFont="1" applyFill="1" applyBorder="1" applyAlignment="1">
      <alignment vertical="center"/>
    </xf>
    <xf numFmtId="0" fontId="175" fillId="3" borderId="124" xfId="0" applyFont="1" applyFill="1" applyBorder="1" applyAlignment="1">
      <alignment vertical="center"/>
    </xf>
    <xf numFmtId="0" fontId="212" fillId="3" borderId="105" xfId="0" applyFont="1" applyFill="1" applyBorder="1" applyAlignment="1">
      <alignment vertical="center"/>
    </xf>
    <xf numFmtId="4" fontId="213" fillId="3" borderId="70" xfId="0" applyNumberFormat="1" applyFont="1" applyFill="1" applyBorder="1" applyAlignment="1">
      <alignment horizontal="center" vertical="center"/>
    </xf>
    <xf numFmtId="0" fontId="195" fillId="3" borderId="105" xfId="0" applyFont="1" applyFill="1" applyBorder="1" applyAlignment="1">
      <alignment vertical="center"/>
    </xf>
    <xf numFmtId="4" fontId="214" fillId="3" borderId="106" xfId="0" applyNumberFormat="1" applyFont="1" applyFill="1" applyBorder="1" applyAlignment="1">
      <alignment horizontal="center" vertical="center"/>
    </xf>
    <xf numFmtId="0" fontId="215" fillId="3" borderId="81" xfId="0" applyFont="1" applyFill="1" applyBorder="1" applyAlignment="1">
      <alignment vertical="center"/>
    </xf>
    <xf numFmtId="4" fontId="216" fillId="3" borderId="116" xfId="0" applyNumberFormat="1" applyFont="1" applyFill="1" applyBorder="1" applyAlignment="1">
      <alignment horizontal="center" vertical="center"/>
    </xf>
    <xf numFmtId="3" fontId="217" fillId="3" borderId="98" xfId="0" applyNumberFormat="1" applyFont="1" applyFill="1" applyBorder="1" applyAlignment="1">
      <alignment horizontal="center" vertical="center"/>
    </xf>
    <xf numFmtId="4" fontId="164" fillId="3" borderId="97" xfId="0" applyNumberFormat="1" applyFont="1" applyFill="1" applyBorder="1" applyAlignment="1">
      <alignment horizontal="right" vertical="center" wrapText="1"/>
    </xf>
    <xf numFmtId="0" fontId="102" fillId="0" borderId="125" xfId="0" applyFont="1" applyBorder="1" applyAlignment="1">
      <alignment horizontal="right" vertical="center" wrapText="1"/>
    </xf>
    <xf numFmtId="176" fontId="218" fillId="37" borderId="126" xfId="0" applyNumberFormat="1" applyFont="1" applyFill="1" applyBorder="1" applyAlignment="1">
      <alignment horizontal="center" vertical="center"/>
    </xf>
    <xf numFmtId="176" fontId="218" fillId="37" borderId="127" xfId="0" applyNumberFormat="1" applyFont="1" applyFill="1" applyBorder="1" applyAlignment="1">
      <alignment horizontal="center" vertical="center"/>
    </xf>
    <xf numFmtId="10" fontId="1" fillId="0" borderId="125" xfId="0" applyNumberFormat="1" applyFont="1" applyBorder="1" applyAlignment="1">
      <alignment horizontal="center" vertical="center"/>
    </xf>
    <xf numFmtId="4" fontId="129" fillId="0" borderId="128" xfId="0" applyNumberFormat="1" applyFont="1" applyBorder="1" applyAlignment="1">
      <alignment horizontal="center" vertical="center"/>
    </xf>
    <xf numFmtId="4" fontId="102" fillId="0" borderId="15" xfId="0" applyNumberFormat="1" applyFont="1" applyBorder="1" applyAlignment="1">
      <alignment horizontal="center" vertical="center"/>
    </xf>
    <xf numFmtId="0" fontId="219" fillId="0" borderId="129" xfId="0" applyFont="1" applyBorder="1" applyAlignment="1">
      <alignment vertical="center" wrapText="1"/>
    </xf>
    <xf numFmtId="0" fontId="219" fillId="0" borderId="0" xfId="0" applyFont="1" applyAlignment="1">
      <alignment vertical="center" wrapText="1"/>
    </xf>
    <xf numFmtId="4" fontId="186" fillId="35" borderId="72" xfId="0" applyNumberFormat="1" applyFont="1" applyFill="1" applyBorder="1" applyAlignment="1">
      <alignment horizontal="right" vertical="center" wrapText="1"/>
    </xf>
    <xf numFmtId="0" fontId="102" fillId="35" borderId="130" xfId="0" applyFont="1" applyFill="1" applyBorder="1" applyAlignment="1">
      <alignment horizontal="center" vertical="center" wrapText="1"/>
    </xf>
    <xf numFmtId="0" fontId="102" fillId="35" borderId="131" xfId="0" applyFont="1" applyFill="1" applyBorder="1" applyAlignment="1">
      <alignment horizontal="center" vertical="center" wrapText="1"/>
    </xf>
    <xf numFmtId="0" fontId="200" fillId="10" borderId="63" xfId="0" applyFont="1" applyFill="1" applyBorder="1" applyAlignment="1">
      <alignment horizontal="center" vertical="center" wrapText="1"/>
    </xf>
    <xf numFmtId="4" fontId="112" fillId="0" borderId="16" xfId="0" applyNumberFormat="1" applyFont="1" applyBorder="1" applyAlignment="1">
      <alignment horizontal="center" vertical="center" wrapText="1"/>
    </xf>
    <xf numFmtId="3" fontId="220" fillId="0" borderId="15" xfId="0" applyNumberFormat="1" applyFont="1" applyBorder="1" applyAlignment="1">
      <alignment horizontal="center" vertical="center" wrapText="1"/>
    </xf>
    <xf numFmtId="3" fontId="221" fillId="10" borderId="72" xfId="0" applyNumberFormat="1" applyFont="1" applyFill="1" applyBorder="1" applyAlignment="1">
      <alignment horizontal="center" vertical="center"/>
    </xf>
    <xf numFmtId="0" fontId="222" fillId="0" borderId="0" xfId="0" applyFont="1" applyAlignment="1">
      <alignment vertical="center"/>
    </xf>
    <xf numFmtId="0" fontId="222" fillId="0" borderId="0" xfId="0" applyFont="1" applyAlignment="1">
      <alignment vertical="center" wrapText="1"/>
    </xf>
    <xf numFmtId="0" fontId="223" fillId="3" borderId="98" xfId="0" applyFont="1" applyFill="1" applyBorder="1" applyAlignment="1">
      <alignment vertical="center"/>
    </xf>
    <xf numFmtId="0" fontId="223" fillId="3" borderId="0" xfId="0" applyFont="1" applyFill="1" applyAlignment="1">
      <alignment vertical="center"/>
    </xf>
    <xf numFmtId="0" fontId="223" fillId="3" borderId="0" xfId="0" applyFont="1" applyFill="1" applyAlignment="1">
      <alignment horizontal="center" vertical="center"/>
    </xf>
    <xf numFmtId="4" fontId="223" fillId="3" borderId="0" xfId="0" applyNumberFormat="1" applyFont="1" applyFill="1" applyAlignment="1">
      <alignment horizontal="center" vertical="center"/>
    </xf>
    <xf numFmtId="4" fontId="224" fillId="3" borderId="97" xfId="0" applyNumberFormat="1" applyFont="1" applyFill="1" applyBorder="1" applyAlignment="1">
      <alignment horizontal="right" vertical="center"/>
    </xf>
    <xf numFmtId="4" fontId="223" fillId="9" borderId="133" xfId="0" applyNumberFormat="1" applyFont="1" applyFill="1" applyBorder="1" applyAlignment="1">
      <alignment horizontal="center" vertical="center"/>
    </xf>
    <xf numFmtId="3" fontId="223" fillId="9" borderId="134" xfId="0" applyNumberFormat="1" applyFont="1" applyFill="1" applyBorder="1" applyAlignment="1">
      <alignment horizontal="center" vertical="center"/>
    </xf>
    <xf numFmtId="4" fontId="223" fillId="9" borderId="134" xfId="0" applyNumberFormat="1" applyFont="1" applyFill="1" applyBorder="1" applyAlignment="1">
      <alignment horizontal="center" vertical="center"/>
    </xf>
    <xf numFmtId="4" fontId="224" fillId="9" borderId="135" xfId="0" applyNumberFormat="1" applyFont="1" applyFill="1" applyBorder="1" applyAlignment="1">
      <alignment horizontal="right" vertical="center"/>
    </xf>
    <xf numFmtId="4" fontId="223" fillId="9" borderId="139" xfId="0" applyNumberFormat="1" applyFont="1" applyFill="1" applyBorder="1" applyAlignment="1">
      <alignment horizontal="center" vertical="center"/>
    </xf>
    <xf numFmtId="4" fontId="223" fillId="9" borderId="141" xfId="0" applyNumberFormat="1" applyFont="1" applyFill="1" applyBorder="1" applyAlignment="1">
      <alignment horizontal="center" vertical="center"/>
    </xf>
    <xf numFmtId="3" fontId="223" fillId="9" borderId="143" xfId="0" applyNumberFormat="1" applyFont="1" applyFill="1" applyBorder="1" applyAlignment="1">
      <alignment horizontal="center" vertical="center"/>
    </xf>
    <xf numFmtId="4" fontId="223" fillId="9" borderId="144" xfId="0" applyNumberFormat="1" applyFont="1" applyFill="1" applyBorder="1" applyAlignment="1">
      <alignment horizontal="center" vertical="center"/>
    </xf>
    <xf numFmtId="4" fontId="224" fillId="9" borderId="145" xfId="0" applyNumberFormat="1" applyFont="1" applyFill="1" applyBorder="1" applyAlignment="1">
      <alignment horizontal="right" vertical="center"/>
    </xf>
    <xf numFmtId="0" fontId="225" fillId="9" borderId="146" xfId="0" applyFont="1" applyFill="1" applyBorder="1" applyAlignment="1">
      <alignment horizontal="left" vertical="center"/>
    </xf>
    <xf numFmtId="0" fontId="223" fillId="9" borderId="147" xfId="0" applyFont="1" applyFill="1" applyBorder="1" applyAlignment="1">
      <alignment vertical="center"/>
    </xf>
    <xf numFmtId="0" fontId="226" fillId="9" borderId="147" xfId="0" applyFont="1" applyFill="1" applyBorder="1" applyAlignment="1">
      <alignment vertical="center"/>
    </xf>
    <xf numFmtId="0" fontId="223" fillId="9" borderId="148" xfId="0" applyFont="1" applyFill="1" applyBorder="1" applyAlignment="1">
      <alignment vertical="center"/>
    </xf>
    <xf numFmtId="4" fontId="227" fillId="9" borderId="149" xfId="0" applyNumberFormat="1" applyFont="1" applyFill="1" applyBorder="1" applyAlignment="1">
      <alignment horizontal="right" vertical="center"/>
    </xf>
    <xf numFmtId="0" fontId="228" fillId="0" borderId="0" xfId="0" applyFont="1"/>
    <xf numFmtId="0" fontId="229" fillId="0" borderId="0" xfId="0" applyFont="1"/>
    <xf numFmtId="0" fontId="230" fillId="0" borderId="0" xfId="0" applyFont="1"/>
    <xf numFmtId="0" fontId="176" fillId="9" borderId="13" xfId="0" applyFont="1" applyFill="1" applyBorder="1" applyAlignment="1">
      <alignment vertical="center"/>
    </xf>
    <xf numFmtId="0" fontId="175" fillId="9" borderId="13" xfId="0" applyFont="1" applyFill="1" applyBorder="1" applyAlignment="1">
      <alignment vertical="center"/>
    </xf>
    <xf numFmtId="4" fontId="175" fillId="9" borderId="13" xfId="0" applyNumberFormat="1" applyFont="1" applyFill="1" applyBorder="1" applyAlignment="1">
      <alignment vertical="center"/>
    </xf>
    <xf numFmtId="0" fontId="51" fillId="0" borderId="27" xfId="0" applyFont="1" applyBorder="1" applyAlignment="1">
      <alignment horizontal="center" vertical="center" wrapText="1"/>
    </xf>
    <xf numFmtId="4" fontId="231" fillId="0" borderId="27" xfId="0" applyNumberFormat="1" applyFont="1" applyBorder="1" applyAlignment="1">
      <alignment horizontal="left" vertical="center" wrapText="1"/>
    </xf>
    <xf numFmtId="4" fontId="142" fillId="7" borderId="0" xfId="0" applyNumberFormat="1" applyFont="1" applyFill="1" applyAlignment="1">
      <alignment horizontal="right" vertical="center" wrapText="1"/>
    </xf>
    <xf numFmtId="0" fontId="142" fillId="0" borderId="16" xfId="0" applyFont="1" applyBorder="1" applyAlignment="1">
      <alignment horizontal="left" vertical="center" wrapText="1"/>
    </xf>
    <xf numFmtId="4" fontId="166" fillId="35" borderId="76" xfId="0" applyNumberFormat="1" applyFont="1" applyFill="1" applyBorder="1" applyAlignment="1">
      <alignment horizontal="center" vertical="center" wrapText="1"/>
    </xf>
    <xf numFmtId="4" fontId="166" fillId="0" borderId="72" xfId="0" applyNumberFormat="1" applyFont="1" applyBorder="1" applyAlignment="1">
      <alignment vertical="center"/>
    </xf>
    <xf numFmtId="10" fontId="102" fillId="0" borderId="72" xfId="0" applyNumberFormat="1" applyFont="1" applyBorder="1" applyAlignment="1">
      <alignment horizontal="left" vertical="center" wrapText="1"/>
    </xf>
    <xf numFmtId="4" fontId="99" fillId="0" borderId="72" xfId="0" applyNumberFormat="1" applyFont="1" applyBorder="1" applyAlignment="1">
      <alignment vertical="center"/>
    </xf>
    <xf numFmtId="4" fontId="158" fillId="0" borderId="72" xfId="0" applyNumberFormat="1" applyFont="1" applyBorder="1" applyAlignment="1">
      <alignment horizontal="center" vertical="center" wrapText="1"/>
    </xf>
    <xf numFmtId="4" fontId="158" fillId="35" borderId="72" xfId="0" applyNumberFormat="1" applyFont="1" applyFill="1" applyBorder="1" applyAlignment="1">
      <alignment horizontal="center" vertical="center" wrapText="1"/>
    </xf>
    <xf numFmtId="174" fontId="233" fillId="0" borderId="72" xfId="0" applyNumberFormat="1" applyFont="1" applyBorder="1" applyAlignment="1">
      <alignment horizontal="right"/>
    </xf>
    <xf numFmtId="4" fontId="121" fillId="3" borderId="72" xfId="0" applyNumberFormat="1" applyFont="1" applyFill="1" applyBorder="1" applyAlignment="1">
      <alignment horizontal="right" wrapText="1"/>
    </xf>
    <xf numFmtId="4" fontId="209" fillId="35" borderId="72" xfId="0" applyNumberFormat="1" applyFont="1" applyFill="1" applyBorder="1" applyAlignment="1">
      <alignment horizontal="right"/>
    </xf>
    <xf numFmtId="4" fontId="166" fillId="35" borderId="72" xfId="0" applyNumberFormat="1" applyFont="1" applyFill="1" applyBorder="1" applyAlignment="1">
      <alignment horizontal="center" vertical="center"/>
    </xf>
    <xf numFmtId="0" fontId="194" fillId="0" borderId="72" xfId="0" applyFont="1" applyBorder="1" applyAlignment="1">
      <alignment horizontal="right" wrapText="1"/>
    </xf>
    <xf numFmtId="4" fontId="195" fillId="0" borderId="72" xfId="0" applyNumberFormat="1" applyFont="1" applyBorder="1" applyAlignment="1">
      <alignment horizontal="center" wrapText="1"/>
    </xf>
    <xf numFmtId="10" fontId="158" fillId="0" borderId="72" xfId="0" applyNumberFormat="1" applyFont="1" applyBorder="1" applyAlignment="1">
      <alignment horizontal="center" vertical="center" wrapText="1"/>
    </xf>
    <xf numFmtId="4" fontId="47" fillId="0" borderId="72" xfId="0" applyNumberFormat="1" applyFont="1" applyBorder="1" applyAlignment="1">
      <alignment vertical="center"/>
    </xf>
    <xf numFmtId="4" fontId="166" fillId="0" borderId="0" xfId="0" applyNumberFormat="1" applyFont="1" applyAlignment="1">
      <alignment horizontal="right" vertical="center" wrapText="1"/>
    </xf>
    <xf numFmtId="4" fontId="99" fillId="3" borderId="72" xfId="0" applyNumberFormat="1" applyFont="1" applyFill="1" applyBorder="1" applyAlignment="1">
      <alignment horizontal="right" vertical="center" wrapText="1"/>
    </xf>
    <xf numFmtId="4" fontId="8" fillId="36" borderId="80" xfId="0" applyNumberFormat="1" applyFont="1" applyFill="1" applyBorder="1" applyAlignment="1">
      <alignment horizontal="center" vertical="center"/>
    </xf>
    <xf numFmtId="4" fontId="233" fillId="0" borderId="72" xfId="0" applyNumberFormat="1" applyFont="1" applyBorder="1" applyAlignment="1">
      <alignment horizontal="right"/>
    </xf>
    <xf numFmtId="4" fontId="209" fillId="0" borderId="72" xfId="0" applyNumberFormat="1" applyFont="1" applyBorder="1" applyAlignment="1">
      <alignment horizontal="right"/>
    </xf>
    <xf numFmtId="4" fontId="209" fillId="0" borderId="72" xfId="0" applyNumberFormat="1" applyFont="1" applyBorder="1" applyAlignment="1">
      <alignment horizontal="center"/>
    </xf>
    <xf numFmtId="4" fontId="102" fillId="35" borderId="72" xfId="0" applyNumberFormat="1" applyFont="1" applyFill="1" applyBorder="1" applyAlignment="1">
      <alignment horizontal="center" vertical="center" wrapText="1"/>
    </xf>
    <xf numFmtId="4" fontId="121" fillId="35" borderId="72" xfId="0" applyNumberFormat="1" applyFont="1" applyFill="1" applyBorder="1" applyAlignment="1">
      <alignment horizontal="right" vertical="center" wrapText="1"/>
    </xf>
    <xf numFmtId="49" fontId="234" fillId="0" borderId="0" xfId="0" applyNumberFormat="1" applyFont="1" applyAlignment="1">
      <alignment horizontal="left" vertical="center" wrapText="1"/>
    </xf>
    <xf numFmtId="4" fontId="101" fillId="3" borderId="118" xfId="0" applyNumberFormat="1" applyFont="1" applyFill="1" applyBorder="1" applyAlignment="1">
      <alignment horizontal="left" vertical="center"/>
    </xf>
    <xf numFmtId="4" fontId="1" fillId="0" borderId="0" xfId="0" applyNumberFormat="1" applyFont="1" applyAlignment="1">
      <alignment vertical="center"/>
    </xf>
    <xf numFmtId="4" fontId="1" fillId="3" borderId="0" xfId="0" applyNumberFormat="1" applyFont="1" applyFill="1" applyAlignment="1">
      <alignment vertical="center"/>
    </xf>
    <xf numFmtId="4" fontId="204" fillId="9" borderId="0" xfId="0" applyNumberFormat="1" applyFont="1" applyFill="1" applyAlignment="1">
      <alignment vertical="center"/>
    </xf>
    <xf numFmtId="4" fontId="207" fillId="0" borderId="72" xfId="0" applyNumberFormat="1" applyFont="1" applyBorder="1" applyAlignment="1">
      <alignment horizontal="center" vertical="center"/>
    </xf>
    <xf numFmtId="4" fontId="207" fillId="35" borderId="72" xfId="0" applyNumberFormat="1" applyFont="1" applyFill="1" applyBorder="1" applyAlignment="1">
      <alignment horizontal="center" vertical="center"/>
    </xf>
    <xf numFmtId="4" fontId="166" fillId="35" borderId="117" xfId="0" applyNumberFormat="1" applyFont="1" applyFill="1" applyBorder="1" applyAlignment="1">
      <alignment horizontal="center" vertical="center"/>
    </xf>
    <xf numFmtId="4" fontId="47" fillId="3" borderId="72" xfId="0" applyNumberFormat="1" applyFont="1" applyFill="1" applyBorder="1" applyAlignment="1">
      <alignment horizontal="right" vertical="center"/>
    </xf>
    <xf numFmtId="0" fontId="235" fillId="9" borderId="0" xfId="0" applyFont="1" applyFill="1" applyAlignment="1">
      <alignment vertical="center"/>
    </xf>
    <xf numFmtId="4" fontId="158" fillId="0" borderId="0" xfId="0" applyNumberFormat="1" applyFont="1" applyAlignment="1">
      <alignment horizontal="left" vertical="center"/>
    </xf>
    <xf numFmtId="4" fontId="175" fillId="3" borderId="124" xfId="0" applyNumberFormat="1" applyFont="1" applyFill="1" applyBorder="1" applyAlignment="1">
      <alignment vertical="center"/>
    </xf>
    <xf numFmtId="0" fontId="102" fillId="35" borderId="6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02" fillId="3" borderId="72" xfId="0" applyNumberFormat="1" applyFont="1" applyFill="1" applyBorder="1" applyAlignment="1">
      <alignment vertical="center"/>
    </xf>
    <xf numFmtId="4" fontId="102" fillId="3" borderId="0" xfId="0" applyNumberFormat="1" applyFont="1" applyFill="1" applyAlignment="1">
      <alignment vertical="center" wrapText="1"/>
    </xf>
    <xf numFmtId="4" fontId="175" fillId="0" borderId="0" xfId="0" applyNumberFormat="1" applyFont="1" applyAlignment="1">
      <alignment vertical="center"/>
    </xf>
    <xf numFmtId="0" fontId="175" fillId="0" borderId="0" xfId="0" applyFont="1"/>
    <xf numFmtId="0" fontId="176" fillId="9" borderId="13" xfId="0" applyFont="1" applyFill="1" applyBorder="1"/>
    <xf numFmtId="0" fontId="175" fillId="9" borderId="13" xfId="0" applyFont="1" applyFill="1" applyBorder="1"/>
    <xf numFmtId="0" fontId="180" fillId="0" borderId="0" xfId="0" applyFont="1" applyAlignment="1">
      <alignment horizontal="left" wrapText="1"/>
    </xf>
    <xf numFmtId="0" fontId="166" fillId="0" borderId="0" xfId="0" applyFont="1" applyAlignment="1">
      <alignment horizontal="left" wrapText="1"/>
    </xf>
    <xf numFmtId="0" fontId="40" fillId="0" borderId="27" xfId="0" applyFont="1" applyBorder="1" applyAlignment="1">
      <alignment horizontal="center" vertical="center" wrapText="1"/>
    </xf>
    <xf numFmtId="174" fontId="142" fillId="0" borderId="0" xfId="0" applyNumberFormat="1" applyFont="1" applyAlignment="1">
      <alignment horizontal="right" vertical="center"/>
    </xf>
    <xf numFmtId="0" fontId="102" fillId="0" borderId="72" xfId="0" applyFont="1" applyBorder="1" applyAlignment="1">
      <alignment horizontal="center"/>
    </xf>
    <xf numFmtId="4" fontId="142" fillId="0" borderId="0" xfId="0" applyNumberFormat="1" applyFont="1" applyAlignment="1">
      <alignment horizontal="right" vertical="center"/>
    </xf>
    <xf numFmtId="3" fontId="101" fillId="0" borderId="0" xfId="0" applyNumberFormat="1" applyFont="1" applyAlignment="1">
      <alignment horizontal="center" wrapText="1"/>
    </xf>
    <xf numFmtId="0" fontId="102" fillId="0" borderId="0" xfId="0" applyFont="1" applyAlignment="1">
      <alignment horizontal="left" wrapText="1"/>
    </xf>
    <xf numFmtId="0" fontId="175" fillId="0" borderId="0" xfId="0" applyFont="1" applyAlignment="1">
      <alignment horizontal="left"/>
    </xf>
    <xf numFmtId="4" fontId="102" fillId="0" borderId="0" xfId="0" applyNumberFormat="1" applyFont="1" applyAlignment="1">
      <alignment vertical="center"/>
    </xf>
    <xf numFmtId="4" fontId="102" fillId="0" borderId="17" xfId="0" applyNumberFormat="1" applyFont="1" applyBorder="1" applyAlignment="1">
      <alignment horizontal="left" vertical="center" wrapText="1"/>
    </xf>
    <xf numFmtId="4" fontId="102" fillId="0" borderId="17" xfId="0" applyNumberFormat="1" applyFont="1" applyBorder="1" applyAlignment="1">
      <alignment vertical="center"/>
    </xf>
    <xf numFmtId="4" fontId="102" fillId="0" borderId="0" xfId="0" applyNumberFormat="1" applyFont="1" applyAlignment="1">
      <alignment horizontal="center" vertical="center"/>
    </xf>
    <xf numFmtId="4" fontId="166" fillId="0" borderId="0" xfId="0" applyNumberFormat="1" applyFont="1" applyAlignment="1">
      <alignment vertical="center"/>
    </xf>
    <xf numFmtId="0" fontId="141" fillId="0" borderId="0" xfId="0" applyFont="1" applyAlignment="1">
      <alignment horizontal="left" vertical="center"/>
    </xf>
    <xf numFmtId="4" fontId="102" fillId="0" borderId="0" xfId="0" applyNumberFormat="1" applyFont="1" applyAlignment="1">
      <alignment horizontal="right" vertical="center"/>
    </xf>
    <xf numFmtId="0" fontId="141" fillId="0" borderId="0" xfId="0" applyFont="1" applyAlignment="1">
      <alignment horizontal="right" vertical="center"/>
    </xf>
    <xf numFmtId="0" fontId="102" fillId="0" borderId="15" xfId="0" applyFont="1" applyBorder="1" applyAlignment="1">
      <alignment horizontal="right" vertical="center" wrapText="1"/>
    </xf>
    <xf numFmtId="9" fontId="102" fillId="0" borderId="17" xfId="0" applyNumberFormat="1" applyFont="1" applyBorder="1" applyAlignment="1">
      <alignment horizontal="left" vertical="center" wrapText="1"/>
    </xf>
    <xf numFmtId="176" fontId="102" fillId="0" borderId="17" xfId="0" applyNumberFormat="1" applyFont="1" applyBorder="1" applyAlignment="1">
      <alignment horizontal="left" vertical="center" wrapText="1"/>
    </xf>
    <xf numFmtId="0" fontId="121" fillId="0" borderId="0" xfId="0" applyFont="1" applyAlignment="1">
      <alignment horizontal="left" vertical="center"/>
    </xf>
    <xf numFmtId="0" fontId="166" fillId="0" borderId="0" xfId="0" applyFont="1" applyAlignment="1">
      <alignment horizontal="center" vertical="center"/>
    </xf>
    <xf numFmtId="0" fontId="102" fillId="0" borderId="0" xfId="0" applyFont="1" applyAlignment="1">
      <alignment horizontal="right" vertical="center"/>
    </xf>
    <xf numFmtId="0" fontId="166" fillId="35" borderId="72" xfId="0" applyFont="1" applyFill="1" applyBorder="1" applyAlignment="1">
      <alignment horizontal="center"/>
    </xf>
    <xf numFmtId="0" fontId="166" fillId="0" borderId="0" xfId="0" applyFont="1" applyAlignment="1">
      <alignment horizontal="center"/>
    </xf>
    <xf numFmtId="4" fontId="166" fillId="0" borderId="0" xfId="0" applyNumberFormat="1" applyFont="1" applyAlignment="1">
      <alignment horizontal="right" vertical="center"/>
    </xf>
    <xf numFmtId="4" fontId="158" fillId="0" borderId="0" xfId="0" applyNumberFormat="1" applyFont="1" applyAlignment="1">
      <alignment horizontal="center" vertical="center"/>
    </xf>
    <xf numFmtId="4" fontId="100" fillId="0" borderId="0" xfId="0" applyNumberFormat="1" applyFont="1" applyAlignment="1">
      <alignment horizontal="right" vertical="center"/>
    </xf>
    <xf numFmtId="0" fontId="100" fillId="0" borderId="0" xfId="0" applyFont="1" applyAlignment="1">
      <alignment horizontal="right" vertical="center"/>
    </xf>
    <xf numFmtId="0" fontId="125" fillId="0" borderId="0" xfId="0" applyFont="1" applyAlignment="1">
      <alignment horizontal="center" vertical="center"/>
    </xf>
    <xf numFmtId="4" fontId="101" fillId="0" borderId="0" xfId="0" applyNumberFormat="1" applyFont="1" applyAlignment="1">
      <alignment horizontal="right" vertical="center"/>
    </xf>
    <xf numFmtId="4" fontId="102" fillId="0" borderId="0" xfId="0" applyNumberFormat="1" applyFont="1"/>
    <xf numFmtId="10" fontId="102" fillId="0" borderId="72" xfId="0" applyNumberFormat="1" applyFont="1" applyBorder="1" applyAlignment="1">
      <alignment horizontal="center" wrapText="1"/>
    </xf>
    <xf numFmtId="4" fontId="102" fillId="0" borderId="0" xfId="0" applyNumberFormat="1" applyFont="1" applyAlignment="1">
      <alignment horizontal="center"/>
    </xf>
    <xf numFmtId="0" fontId="197" fillId="0" borderId="0" xfId="0" applyFont="1" applyAlignment="1">
      <alignment vertical="center"/>
    </xf>
    <xf numFmtId="178" fontId="101" fillId="0" borderId="0" xfId="0" applyNumberFormat="1" applyFont="1" applyAlignment="1">
      <alignment horizontal="left"/>
    </xf>
    <xf numFmtId="178" fontId="101" fillId="3" borderId="118" xfId="0" applyNumberFormat="1" applyFont="1" applyFill="1" applyBorder="1" applyAlignment="1">
      <alignment horizontal="left"/>
    </xf>
    <xf numFmtId="0" fontId="65" fillId="10" borderId="117" xfId="0" applyFont="1" applyFill="1" applyBorder="1"/>
    <xf numFmtId="180" fontId="1" fillId="0" borderId="0" xfId="0" applyNumberFormat="1" applyFont="1" applyAlignment="1">
      <alignment vertical="center"/>
    </xf>
    <xf numFmtId="10" fontId="102" fillId="0" borderId="17" xfId="0" applyNumberFormat="1" applyFont="1" applyBorder="1" applyAlignment="1">
      <alignment horizontal="center" vertical="center"/>
    </xf>
    <xf numFmtId="4" fontId="102" fillId="3" borderId="0" xfId="0" applyNumberFormat="1" applyFont="1" applyFill="1" applyAlignment="1">
      <alignment vertical="center"/>
    </xf>
    <xf numFmtId="4" fontId="102" fillId="37" borderId="72" xfId="0" applyNumberFormat="1" applyFont="1" applyFill="1" applyBorder="1" applyAlignment="1">
      <alignment vertical="center"/>
    </xf>
    <xf numFmtId="4" fontId="102" fillId="37" borderId="0" xfId="0" applyNumberFormat="1" applyFont="1" applyFill="1" applyAlignment="1">
      <alignment vertical="center"/>
    </xf>
    <xf numFmtId="0" fontId="1" fillId="37" borderId="0" xfId="0" applyFont="1" applyFill="1"/>
    <xf numFmtId="4" fontId="193" fillId="0" borderId="72" xfId="0" applyNumberFormat="1" applyFont="1" applyBorder="1" applyAlignment="1">
      <alignment vertical="center"/>
    </xf>
    <xf numFmtId="4" fontId="236" fillId="3" borderId="0" xfId="0" applyNumberFormat="1" applyFont="1" applyFill="1"/>
    <xf numFmtId="4" fontId="166" fillId="0" borderId="16" xfId="0" applyNumberFormat="1" applyFont="1" applyBorder="1" applyAlignment="1">
      <alignment wrapText="1"/>
    </xf>
    <xf numFmtId="4" fontId="112" fillId="13" borderId="80" xfId="0" applyNumberFormat="1" applyFont="1" applyFill="1" applyBorder="1" applyAlignment="1">
      <alignment horizontal="center" wrapText="1"/>
    </xf>
    <xf numFmtId="4" fontId="166" fillId="0" borderId="17" xfId="0" applyNumberFormat="1" applyFont="1" applyBorder="1" applyAlignment="1">
      <alignment wrapText="1"/>
    </xf>
    <xf numFmtId="4" fontId="166" fillId="0" borderId="17" xfId="0" applyNumberFormat="1" applyFont="1" applyBorder="1" applyAlignment="1">
      <alignment horizontal="right" wrapText="1"/>
    </xf>
    <xf numFmtId="4" fontId="166" fillId="0" borderId="106" xfId="0" applyNumberFormat="1" applyFont="1" applyBorder="1" applyAlignment="1">
      <alignment horizontal="right" wrapText="1"/>
    </xf>
    <xf numFmtId="4" fontId="102" fillId="3" borderId="0" xfId="0" applyNumberFormat="1" applyFont="1" applyFill="1" applyAlignment="1">
      <alignment horizontal="center" vertical="center"/>
    </xf>
    <xf numFmtId="4" fontId="166" fillId="3" borderId="0" xfId="0" applyNumberFormat="1" applyFont="1" applyFill="1" applyAlignment="1">
      <alignment vertical="center"/>
    </xf>
    <xf numFmtId="4" fontId="102" fillId="0" borderId="63" xfId="0" applyNumberFormat="1" applyFont="1" applyBorder="1" applyAlignment="1">
      <alignment horizontal="center" vertical="center"/>
    </xf>
    <xf numFmtId="10" fontId="127" fillId="0" borderId="72" xfId="0" applyNumberFormat="1" applyFont="1" applyBorder="1" applyAlignment="1">
      <alignment horizontal="right" vertical="center"/>
    </xf>
    <xf numFmtId="10" fontId="237" fillId="0" borderId="72" xfId="0" applyNumberFormat="1" applyFont="1" applyBorder="1" applyAlignment="1">
      <alignment horizontal="center" vertical="center"/>
    </xf>
    <xf numFmtId="0" fontId="238" fillId="20" borderId="0" xfId="0" applyFont="1" applyFill="1"/>
    <xf numFmtId="0" fontId="239" fillId="20" borderId="0" xfId="0" applyFont="1" applyFill="1"/>
    <xf numFmtId="0" fontId="239" fillId="0" borderId="0" xfId="0" applyFont="1"/>
    <xf numFmtId="0" fontId="241" fillId="0" borderId="0" xfId="0" applyFont="1"/>
    <xf numFmtId="0" fontId="242" fillId="38" borderId="0" xfId="0" applyFont="1" applyFill="1" applyAlignment="1">
      <alignment vertical="center"/>
    </xf>
    <xf numFmtId="0" fontId="243" fillId="0" borderId="0" xfId="0" applyFont="1"/>
    <xf numFmtId="4" fontId="239" fillId="0" borderId="0" xfId="0" applyNumberFormat="1" applyFont="1"/>
    <xf numFmtId="4" fontId="244" fillId="0" borderId="0" xfId="0" applyNumberFormat="1" applyFont="1"/>
    <xf numFmtId="4" fontId="245" fillId="0" borderId="0" xfId="0" applyNumberFormat="1" applyFont="1"/>
    <xf numFmtId="0" fontId="246" fillId="3" borderId="0" xfId="0" applyFont="1" applyFill="1"/>
    <xf numFmtId="4" fontId="246" fillId="3" borderId="0" xfId="0" applyNumberFormat="1" applyFont="1" applyFill="1"/>
    <xf numFmtId="4" fontId="243" fillId="0" borderId="0" xfId="0" applyNumberFormat="1" applyFont="1"/>
    <xf numFmtId="4" fontId="240" fillId="0" borderId="0" xfId="0" applyNumberFormat="1" applyFont="1"/>
    <xf numFmtId="0" fontId="247" fillId="0" borderId="0" xfId="0" applyFont="1"/>
    <xf numFmtId="4" fontId="247" fillId="0" borderId="0" xfId="0" applyNumberFormat="1" applyFont="1"/>
    <xf numFmtId="0" fontId="248" fillId="39" borderId="0" xfId="0" applyFont="1" applyFill="1" applyAlignment="1">
      <alignment horizontal="center" vertical="center"/>
    </xf>
    <xf numFmtId="0" fontId="249" fillId="39" borderId="0" xfId="0" applyFont="1" applyFill="1" applyAlignment="1">
      <alignment horizontal="center" vertical="center"/>
    </xf>
    <xf numFmtId="0" fontId="250" fillId="39" borderId="0" xfId="0" applyFont="1" applyFill="1" applyAlignment="1">
      <alignment horizontal="center" vertical="center"/>
    </xf>
    <xf numFmtId="4" fontId="249" fillId="39" borderId="0" xfId="0" applyNumberFormat="1" applyFont="1" applyFill="1" applyAlignment="1">
      <alignment horizontal="center" vertical="center"/>
    </xf>
    <xf numFmtId="181" fontId="251" fillId="39" borderId="0" xfId="0" applyNumberFormat="1" applyFont="1" applyFill="1" applyAlignment="1">
      <alignment horizontal="center" vertical="center"/>
    </xf>
    <xf numFmtId="172" fontId="5" fillId="39" borderId="0" xfId="0" applyNumberFormat="1" applyFont="1" applyFill="1" applyAlignment="1">
      <alignment horizontal="center" vertical="center"/>
    </xf>
    <xf numFmtId="172" fontId="252" fillId="39" borderId="0" xfId="0" applyNumberFormat="1" applyFont="1" applyFill="1" applyAlignment="1">
      <alignment horizontal="center" vertical="center"/>
    </xf>
    <xf numFmtId="172" fontId="253" fillId="39" borderId="0" xfId="0" applyNumberFormat="1" applyFont="1" applyFill="1" applyAlignment="1">
      <alignment horizontal="center" vertical="center"/>
    </xf>
    <xf numFmtId="0" fontId="248" fillId="0" borderId="0" xfId="0" applyFont="1" applyAlignment="1">
      <alignment horizontal="center" vertical="center"/>
    </xf>
    <xf numFmtId="170" fontId="248" fillId="0" borderId="0" xfId="0" applyNumberFormat="1" applyFont="1" applyAlignment="1">
      <alignment horizontal="center" vertical="center"/>
    </xf>
    <xf numFmtId="172" fontId="248" fillId="0" borderId="0" xfId="0" applyNumberFormat="1" applyFont="1" applyAlignment="1">
      <alignment horizontal="center" vertical="center"/>
    </xf>
    <xf numFmtId="172" fontId="248" fillId="3" borderId="0" xfId="0" applyNumberFormat="1" applyFont="1" applyFill="1" applyAlignment="1">
      <alignment horizontal="center" vertical="center"/>
    </xf>
    <xf numFmtId="0" fontId="248" fillId="3" borderId="0" xfId="0" applyFont="1" applyFill="1" applyAlignment="1">
      <alignment horizontal="center" vertical="center"/>
    </xf>
    <xf numFmtId="0" fontId="157" fillId="30" borderId="11" xfId="0" applyFont="1" applyFill="1" applyBorder="1" applyAlignment="1">
      <alignment horizontal="center" vertical="center"/>
    </xf>
    <xf numFmtId="0" fontId="154" fillId="40" borderId="11" xfId="0" applyFont="1" applyFill="1" applyBorder="1" applyAlignment="1">
      <alignment horizontal="left" vertical="center"/>
    </xf>
    <xf numFmtId="0" fontId="154" fillId="40" borderId="11" xfId="0" applyFont="1" applyFill="1" applyBorder="1" applyAlignment="1">
      <alignment horizontal="center" vertical="center"/>
    </xf>
    <xf numFmtId="0" fontId="154" fillId="40" borderId="12" xfId="0" applyFont="1" applyFill="1" applyBorder="1" applyAlignment="1">
      <alignment horizontal="center" vertical="center"/>
    </xf>
    <xf numFmtId="0" fontId="52" fillId="40" borderId="0" xfId="0" applyFont="1" applyFill="1"/>
    <xf numFmtId="4" fontId="219" fillId="40" borderId="0" xfId="0" applyNumberFormat="1" applyFont="1" applyFill="1"/>
    <xf numFmtId="181" fontId="73" fillId="0" borderId="0" xfId="0" applyNumberFormat="1" applyFont="1"/>
    <xf numFmtId="172" fontId="73" fillId="0" borderId="0" xfId="0" applyNumberFormat="1" applyFont="1"/>
    <xf numFmtId="172" fontId="1" fillId="3" borderId="0" xfId="0" applyNumberFormat="1" applyFont="1" applyFill="1"/>
    <xf numFmtId="0" fontId="254" fillId="10" borderId="0" xfId="0" applyFont="1" applyFill="1" applyAlignment="1">
      <alignment horizontal="center" vertical="center"/>
    </xf>
    <xf numFmtId="0" fontId="255" fillId="10" borderId="0" xfId="0" applyFont="1" applyFill="1" applyAlignment="1">
      <alignment vertical="center"/>
    </xf>
    <xf numFmtId="0" fontId="1" fillId="10" borderId="0" xfId="0" applyFont="1" applyFill="1"/>
    <xf numFmtId="4" fontId="1" fillId="3" borderId="0" xfId="0" applyNumberFormat="1" applyFont="1" applyFill="1"/>
    <xf numFmtId="181" fontId="1" fillId="0" borderId="0" xfId="0" applyNumberFormat="1" applyFont="1"/>
    <xf numFmtId="0" fontId="15" fillId="3" borderId="0" xfId="0" applyFont="1" applyFill="1"/>
    <xf numFmtId="1" fontId="156" fillId="0" borderId="70" xfId="0" applyNumberFormat="1" applyFont="1" applyBorder="1" applyAlignment="1">
      <alignment horizontal="center" vertical="center"/>
    </xf>
    <xf numFmtId="4" fontId="15" fillId="3" borderId="0" xfId="0" applyNumberFormat="1" applyFont="1" applyFill="1"/>
    <xf numFmtId="181" fontId="8" fillId="0" borderId="70" xfId="0" applyNumberFormat="1" applyFont="1" applyBorder="1"/>
    <xf numFmtId="172" fontId="8" fillId="0" borderId="106" xfId="0" applyNumberFormat="1" applyFont="1" applyBorder="1"/>
    <xf numFmtId="0" fontId="158" fillId="30" borderId="76" xfId="0" applyFont="1" applyFill="1" applyBorder="1" applyAlignment="1">
      <alignment horizontal="center" vertical="center"/>
    </xf>
    <xf numFmtId="0" fontId="257" fillId="30" borderId="25" xfId="0" applyFont="1" applyFill="1" applyBorder="1" applyAlignment="1">
      <alignment horizontal="center" vertical="center"/>
    </xf>
    <xf numFmtId="0" fontId="257" fillId="30" borderId="25" xfId="0" applyFont="1" applyFill="1" applyBorder="1" applyAlignment="1">
      <alignment horizontal="center" vertical="center" wrapText="1"/>
    </xf>
    <xf numFmtId="0" fontId="257" fillId="30" borderId="109" xfId="0" applyFont="1" applyFill="1" applyBorder="1" applyAlignment="1">
      <alignment horizontal="center" vertical="center" wrapText="1"/>
    </xf>
    <xf numFmtId="4" fontId="257" fillId="30" borderId="153" xfId="0" applyNumberFormat="1" applyFont="1" applyFill="1" applyBorder="1" applyAlignment="1">
      <alignment horizontal="center" vertical="center" wrapText="1"/>
    </xf>
    <xf numFmtId="181" fontId="258" fillId="30" borderId="17" xfId="0" applyNumberFormat="1" applyFont="1" applyFill="1" applyBorder="1" applyAlignment="1">
      <alignment horizontal="center" vertical="center" wrapText="1"/>
    </xf>
    <xf numFmtId="172" fontId="234" fillId="30" borderId="25" xfId="0" applyNumberFormat="1" applyFont="1" applyFill="1" applyBorder="1" applyAlignment="1">
      <alignment horizontal="center" vertical="center" wrapText="1"/>
    </xf>
    <xf numFmtId="172" fontId="234" fillId="30" borderId="72" xfId="0" applyNumberFormat="1" applyFont="1" applyFill="1" applyBorder="1" applyAlignment="1">
      <alignment horizontal="center" vertical="center" wrapText="1"/>
    </xf>
    <xf numFmtId="0" fontId="194" fillId="30" borderId="72" xfId="0" applyFont="1" applyFill="1" applyBorder="1" applyAlignment="1">
      <alignment horizontal="center" vertical="center" wrapText="1"/>
    </xf>
    <xf numFmtId="0" fontId="193" fillId="30" borderId="72" xfId="0" applyFont="1" applyFill="1" applyBorder="1" applyAlignment="1">
      <alignment horizontal="center" vertical="center" wrapText="1"/>
    </xf>
    <xf numFmtId="170" fontId="234" fillId="30" borderId="72" xfId="0" applyNumberFormat="1" applyFont="1" applyFill="1" applyBorder="1" applyAlignment="1">
      <alignment horizontal="center" vertical="center" wrapText="1"/>
    </xf>
    <xf numFmtId="0" fontId="234" fillId="30" borderId="25" xfId="0" applyFont="1" applyFill="1" applyBorder="1" applyAlignment="1">
      <alignment horizontal="center" vertical="center" wrapText="1"/>
    </xf>
    <xf numFmtId="0" fontId="156" fillId="0" borderId="15" xfId="0" applyFont="1" applyBorder="1" applyAlignment="1">
      <alignment horizontal="right" vertical="center" wrapText="1"/>
    </xf>
    <xf numFmtId="0" fontId="156" fillId="0" borderId="154" xfId="0" applyFont="1" applyBorder="1" applyAlignment="1">
      <alignment horizontal="right" vertical="center" wrapText="1"/>
    </xf>
    <xf numFmtId="3" fontId="156" fillId="0" borderId="155" xfId="0" applyNumberFormat="1" applyFont="1" applyBorder="1" applyAlignment="1">
      <alignment horizontal="center" vertical="center"/>
    </xf>
    <xf numFmtId="1" fontId="156" fillId="0" borderId="72" xfId="0" applyNumberFormat="1" applyFont="1" applyBorder="1" applyAlignment="1">
      <alignment horizontal="center" vertical="center"/>
    </xf>
    <xf numFmtId="1" fontId="156" fillId="0" borderId="15" xfId="0" applyNumberFormat="1" applyFont="1" applyBorder="1" applyAlignment="1">
      <alignment horizontal="center" vertical="center"/>
    </xf>
    <xf numFmtId="4" fontId="165" fillId="3" borderId="156" xfId="0" applyNumberFormat="1" applyFont="1" applyFill="1" applyBorder="1" applyAlignment="1">
      <alignment horizontal="center" vertical="center"/>
    </xf>
    <xf numFmtId="181" fontId="165" fillId="0" borderId="17" xfId="0" applyNumberFormat="1" applyFont="1" applyBorder="1" applyAlignment="1">
      <alignment horizontal="center" vertical="center"/>
    </xf>
    <xf numFmtId="172" fontId="165" fillId="3" borderId="17" xfId="0" applyNumberFormat="1" applyFont="1" applyFill="1" applyBorder="1" applyAlignment="1">
      <alignment horizontal="center" vertical="center"/>
    </xf>
    <xf numFmtId="3" fontId="165" fillId="0" borderId="72" xfId="0" applyNumberFormat="1" applyFont="1" applyBorder="1" applyAlignment="1">
      <alignment horizontal="center" vertical="center"/>
    </xf>
    <xf numFmtId="3" fontId="103" fillId="0" borderId="72" xfId="0" applyNumberFormat="1" applyFont="1" applyBorder="1" applyAlignment="1">
      <alignment horizontal="center" vertical="center"/>
    </xf>
    <xf numFmtId="170" fontId="165" fillId="0" borderId="15" xfId="0" applyNumberFormat="1" applyFont="1" applyBorder="1" applyAlignment="1">
      <alignment horizontal="center" vertical="center"/>
    </xf>
    <xf numFmtId="172" fontId="167" fillId="0" borderId="72" xfId="0" applyNumberFormat="1" applyFont="1" applyBorder="1" applyAlignment="1">
      <alignment horizontal="center" vertical="center"/>
    </xf>
    <xf numFmtId="172" fontId="156" fillId="3" borderId="25" xfId="0" applyNumberFormat="1" applyFont="1" applyFill="1" applyBorder="1" applyAlignment="1">
      <alignment horizontal="center" vertical="center"/>
    </xf>
    <xf numFmtId="0" fontId="156" fillId="0" borderId="157" xfId="0" applyFont="1" applyBorder="1" applyAlignment="1">
      <alignment horizontal="right" vertical="center" wrapText="1"/>
    </xf>
    <xf numFmtId="3" fontId="156" fillId="0" borderId="72" xfId="0" applyNumberFormat="1" applyFont="1" applyBorder="1" applyAlignment="1">
      <alignment horizontal="center" vertical="center"/>
    </xf>
    <xf numFmtId="1" fontId="156" fillId="0" borderId="109" xfId="0" applyNumberFormat="1" applyFont="1" applyBorder="1" applyAlignment="1">
      <alignment horizontal="center" vertical="center"/>
    </xf>
    <xf numFmtId="181" fontId="165" fillId="12" borderId="17" xfId="0" applyNumberFormat="1" applyFont="1" applyFill="1" applyBorder="1" applyAlignment="1">
      <alignment horizontal="center" vertical="center"/>
    </xf>
    <xf numFmtId="172" fontId="156" fillId="3" borderId="29" xfId="0" applyNumberFormat="1" applyFont="1" applyFill="1" applyBorder="1" applyAlignment="1">
      <alignment horizontal="center" vertical="center"/>
    </xf>
    <xf numFmtId="0" fontId="156" fillId="0" borderId="158" xfId="0" applyFont="1" applyBorder="1" applyAlignment="1">
      <alignment horizontal="right" vertical="center" wrapText="1"/>
    </xf>
    <xf numFmtId="0" fontId="156" fillId="0" borderId="159" xfId="0" applyFont="1" applyBorder="1" applyAlignment="1">
      <alignment horizontal="right" vertical="center" wrapText="1"/>
    </xf>
    <xf numFmtId="3" fontId="156" fillId="0" borderId="107" xfId="0" applyNumberFormat="1" applyFont="1" applyBorder="1" applyAlignment="1">
      <alignment horizontal="center" vertical="center"/>
    </xf>
    <xf numFmtId="1" fontId="156" fillId="0" borderId="158" xfId="0" applyNumberFormat="1" applyFont="1" applyBorder="1" applyAlignment="1">
      <alignment horizontal="center" vertical="center"/>
    </xf>
    <xf numFmtId="4" fontId="165" fillId="3" borderId="160" xfId="0" applyNumberFormat="1" applyFont="1" applyFill="1" applyBorder="1" applyAlignment="1">
      <alignment horizontal="center" vertical="center"/>
    </xf>
    <xf numFmtId="181" fontId="165" fillId="0" borderId="161" xfId="0" applyNumberFormat="1" applyFont="1" applyBorder="1" applyAlignment="1">
      <alignment horizontal="center" vertical="center"/>
    </xf>
    <xf numFmtId="172" fontId="165" fillId="0" borderId="162" xfId="0" applyNumberFormat="1" applyFont="1" applyBorder="1" applyAlignment="1">
      <alignment horizontal="center" vertical="center"/>
    </xf>
    <xf numFmtId="172" fontId="165" fillId="3" borderId="161" xfId="0" applyNumberFormat="1" applyFont="1" applyFill="1" applyBorder="1" applyAlignment="1">
      <alignment horizontal="center" vertical="center"/>
    </xf>
    <xf numFmtId="3" fontId="165" fillId="0" borderId="107" xfId="0" applyNumberFormat="1" applyFont="1" applyBorder="1" applyAlignment="1">
      <alignment horizontal="center" vertical="center"/>
    </xf>
    <xf numFmtId="3" fontId="103" fillId="0" borderId="107" xfId="0" applyNumberFormat="1" applyFont="1" applyBorder="1" applyAlignment="1">
      <alignment horizontal="center" vertical="center"/>
    </xf>
    <xf numFmtId="170" fontId="165" fillId="0" borderId="158" xfId="0" applyNumberFormat="1" applyFont="1" applyBorder="1" applyAlignment="1">
      <alignment horizontal="center" vertical="center"/>
    </xf>
    <xf numFmtId="171" fontId="167" fillId="0" borderId="107" xfId="0" applyNumberFormat="1" applyFont="1" applyBorder="1" applyAlignment="1">
      <alignment horizontal="center" vertical="center"/>
    </xf>
    <xf numFmtId="172" fontId="165" fillId="3" borderId="162" xfId="0" applyNumberFormat="1" applyFont="1" applyFill="1" applyBorder="1" applyAlignment="1">
      <alignment horizontal="center" vertical="center"/>
    </xf>
    <xf numFmtId="0" fontId="156" fillId="0" borderId="163" xfId="0" applyFont="1" applyBorder="1" applyAlignment="1">
      <alignment horizontal="right" vertical="center" wrapText="1"/>
    </xf>
    <xf numFmtId="3" fontId="156" fillId="0" borderId="63" xfId="0" applyNumberFormat="1" applyFont="1" applyBorder="1" applyAlignment="1">
      <alignment horizontal="center" vertical="center"/>
    </xf>
    <xf numFmtId="1" fontId="156" fillId="0" borderId="25" xfId="0" applyNumberFormat="1" applyFont="1" applyBorder="1" applyAlignment="1">
      <alignment horizontal="center" vertical="center"/>
    </xf>
    <xf numFmtId="4" fontId="165" fillId="3" borderId="164" xfId="0" applyNumberFormat="1" applyFont="1" applyFill="1" applyBorder="1" applyAlignment="1">
      <alignment horizontal="center" vertical="center"/>
    </xf>
    <xf numFmtId="181" fontId="165" fillId="0" borderId="106" xfId="0" applyNumberFormat="1" applyFont="1" applyBorder="1" applyAlignment="1">
      <alignment horizontal="center" vertical="center"/>
    </xf>
    <xf numFmtId="0" fontId="156" fillId="0" borderId="165" xfId="0" applyFont="1" applyBorder="1" applyAlignment="1">
      <alignment horizontal="right" vertical="center" wrapText="1"/>
    </xf>
    <xf numFmtId="0" fontId="259" fillId="3" borderId="0" xfId="0" applyFont="1" applyFill="1" applyAlignment="1">
      <alignment vertical="center"/>
    </xf>
    <xf numFmtId="0" fontId="123" fillId="30" borderId="166" xfId="0" applyFont="1" applyFill="1" applyBorder="1" applyAlignment="1">
      <alignment horizontal="right" vertical="center"/>
    </xf>
    <xf numFmtId="0" fontId="123" fillId="30" borderId="167" xfId="0" applyFont="1" applyFill="1" applyBorder="1" applyAlignment="1">
      <alignment horizontal="right" vertical="center"/>
    </xf>
    <xf numFmtId="3" fontId="103" fillId="30" borderId="168" xfId="0" applyNumberFormat="1" applyFont="1" applyFill="1" applyBorder="1" applyAlignment="1">
      <alignment horizontal="center" vertical="center"/>
    </xf>
    <xf numFmtId="4" fontId="103" fillId="8" borderId="166" xfId="0" applyNumberFormat="1" applyFont="1" applyFill="1" applyBorder="1" applyAlignment="1">
      <alignment horizontal="center" vertical="center"/>
    </xf>
    <xf numFmtId="4" fontId="103" fillId="30" borderId="169" xfId="0" applyNumberFormat="1" applyFont="1" applyFill="1" applyBorder="1" applyAlignment="1">
      <alignment horizontal="center" vertical="center"/>
    </xf>
    <xf numFmtId="181" fontId="103" fillId="30" borderId="170" xfId="0" applyNumberFormat="1" applyFont="1" applyFill="1" applyBorder="1" applyAlignment="1">
      <alignment horizontal="center" vertical="center"/>
    </xf>
    <xf numFmtId="172" fontId="103" fillId="30" borderId="168" xfId="0" applyNumberFormat="1" applyFont="1" applyFill="1" applyBorder="1" applyAlignment="1">
      <alignment horizontal="center" vertical="center"/>
    </xf>
    <xf numFmtId="182" fontId="103" fillId="30" borderId="168" xfId="0" applyNumberFormat="1" applyFont="1" applyFill="1" applyBorder="1" applyAlignment="1">
      <alignment horizontal="center" vertical="center"/>
    </xf>
    <xf numFmtId="0" fontId="19" fillId="0" borderId="171" xfId="0" applyFont="1" applyBorder="1"/>
    <xf numFmtId="3" fontId="8" fillId="0" borderId="0" xfId="0" applyNumberFormat="1" applyFont="1"/>
    <xf numFmtId="4" fontId="19" fillId="3" borderId="172" xfId="0" applyNumberFormat="1" applyFont="1" applyFill="1" applyBorder="1"/>
    <xf numFmtId="172" fontId="8" fillId="3" borderId="0" xfId="0" applyNumberFormat="1" applyFont="1" applyFill="1"/>
    <xf numFmtId="0" fontId="103" fillId="30" borderId="168" xfId="0" applyFont="1" applyFill="1" applyBorder="1" applyAlignment="1">
      <alignment horizontal="center" vertical="center"/>
    </xf>
    <xf numFmtId="4" fontId="103" fillId="30" borderId="166" xfId="0" applyNumberFormat="1" applyFont="1" applyFill="1" applyBorder="1" applyAlignment="1">
      <alignment horizontal="center" vertical="center"/>
    </xf>
    <xf numFmtId="182" fontId="103" fillId="30" borderId="168" xfId="0" applyNumberFormat="1" applyFont="1" applyFill="1" applyBorder="1" applyAlignment="1">
      <alignment horizontal="left" vertical="center"/>
    </xf>
    <xf numFmtId="4" fontId="103" fillId="30" borderId="168" xfId="0" applyNumberFormat="1" applyFont="1" applyFill="1" applyBorder="1" applyAlignment="1">
      <alignment horizontal="center" vertical="center"/>
    </xf>
    <xf numFmtId="0" fontId="123" fillId="30" borderId="168" xfId="0" applyFont="1" applyFill="1" applyBorder="1" applyAlignment="1">
      <alignment horizontal="right" vertical="center"/>
    </xf>
    <xf numFmtId="4" fontId="103" fillId="30" borderId="173" xfId="0" applyNumberFormat="1" applyFont="1" applyFill="1" applyBorder="1" applyAlignment="1">
      <alignment horizontal="center" vertical="center"/>
    </xf>
    <xf numFmtId="4" fontId="19" fillId="3" borderId="0" xfId="0" applyNumberFormat="1" applyFont="1" applyFill="1"/>
    <xf numFmtId="181" fontId="165" fillId="0" borderId="72" xfId="0" applyNumberFormat="1" applyFont="1" applyBorder="1" applyAlignment="1">
      <alignment horizontal="center" vertical="center"/>
    </xf>
    <xf numFmtId="0" fontId="260" fillId="3" borderId="0" xfId="0" applyFont="1" applyFill="1" applyAlignment="1">
      <alignment vertical="center"/>
    </xf>
    <xf numFmtId="0" fontId="261" fillId="30" borderId="81" xfId="0" applyFont="1" applyFill="1" applyBorder="1" applyAlignment="1">
      <alignment horizontal="right" vertical="center"/>
    </xf>
    <xf numFmtId="0" fontId="261" fillId="30" borderId="168" xfId="0" quotePrefix="1" applyFont="1" applyFill="1" applyBorder="1" applyAlignment="1">
      <alignment horizontal="right" vertical="center"/>
    </xf>
    <xf numFmtId="1" fontId="261" fillId="30" borderId="69" xfId="0" applyNumberFormat="1" applyFont="1" applyFill="1" applyBorder="1" applyAlignment="1">
      <alignment horizontal="center" vertical="center"/>
    </xf>
    <xf numFmtId="3" fontId="262" fillId="23" borderId="168" xfId="0" applyNumberFormat="1" applyFont="1" applyFill="1" applyBorder="1" applyAlignment="1">
      <alignment horizontal="center" vertical="center"/>
    </xf>
    <xf numFmtId="172" fontId="263" fillId="30" borderId="72" xfId="0" applyNumberFormat="1" applyFont="1" applyFill="1" applyBorder="1" applyAlignment="1">
      <alignment horizontal="center" vertical="center"/>
    </xf>
    <xf numFmtId="0" fontId="260" fillId="3" borderId="0" xfId="0" applyFont="1" applyFill="1"/>
    <xf numFmtId="0" fontId="264" fillId="0" borderId="0" xfId="0" applyFont="1"/>
    <xf numFmtId="0" fontId="62" fillId="0" borderId="0" xfId="0" applyFont="1"/>
    <xf numFmtId="4" fontId="62" fillId="3" borderId="0" xfId="0" applyNumberFormat="1" applyFont="1" applyFill="1"/>
    <xf numFmtId="181" fontId="62" fillId="0" borderId="0" xfId="0" applyNumberFormat="1" applyFont="1"/>
    <xf numFmtId="172" fontId="62" fillId="0" borderId="0" xfId="0" applyNumberFormat="1" applyFont="1"/>
    <xf numFmtId="172" fontId="62" fillId="3" borderId="0" xfId="0" applyNumberFormat="1" applyFont="1" applyFill="1"/>
    <xf numFmtId="170" fontId="62" fillId="0" borderId="0" xfId="0" applyNumberFormat="1" applyFont="1"/>
    <xf numFmtId="0" fontId="265" fillId="12" borderId="0" xfId="0" applyFont="1" applyFill="1" applyAlignment="1">
      <alignment vertical="center"/>
    </xf>
    <xf numFmtId="172" fontId="266" fillId="12" borderId="174" xfId="0" applyNumberFormat="1" applyFont="1" applyFill="1" applyBorder="1" applyAlignment="1">
      <alignment horizontal="center" vertical="center"/>
    </xf>
    <xf numFmtId="172" fontId="266" fillId="12" borderId="0" xfId="0" applyNumberFormat="1" applyFont="1" applyFill="1" applyAlignment="1">
      <alignment horizontal="center" vertical="center"/>
    </xf>
    <xf numFmtId="172" fontId="267" fillId="3" borderId="0" xfId="0" applyNumberFormat="1" applyFont="1" applyFill="1"/>
    <xf numFmtId="0" fontId="268" fillId="0" borderId="0" xfId="0" applyFont="1" applyAlignment="1">
      <alignment vertical="center"/>
    </xf>
    <xf numFmtId="172" fontId="267" fillId="3" borderId="175" xfId="0" applyNumberFormat="1" applyFont="1" applyFill="1" applyBorder="1"/>
    <xf numFmtId="0" fontId="268" fillId="0" borderId="93" xfId="0" applyFont="1" applyBorder="1" applyAlignment="1">
      <alignment vertical="center"/>
    </xf>
    <xf numFmtId="172" fontId="267" fillId="3" borderId="176" xfId="0" applyNumberFormat="1" applyFont="1" applyFill="1" applyBorder="1"/>
    <xf numFmtId="172" fontId="267" fillId="3" borderId="93" xfId="0" applyNumberFormat="1" applyFont="1" applyFill="1" applyBorder="1"/>
    <xf numFmtId="0" fontId="269" fillId="3" borderId="0" xfId="0" applyFont="1" applyFill="1"/>
    <xf numFmtId="0" fontId="270" fillId="0" borderId="0" xfId="0" applyFont="1"/>
    <xf numFmtId="0" fontId="271" fillId="0" borderId="0" xfId="0" applyFont="1" applyAlignment="1">
      <alignment vertical="center"/>
    </xf>
    <xf numFmtId="172" fontId="272" fillId="3" borderId="175" xfId="0" applyNumberFormat="1" applyFont="1" applyFill="1" applyBorder="1"/>
    <xf numFmtId="0" fontId="270" fillId="3" borderId="0" xfId="0" applyFont="1" applyFill="1"/>
    <xf numFmtId="0" fontId="271" fillId="0" borderId="93" xfId="0" applyFont="1" applyBorder="1" applyAlignment="1">
      <alignment vertical="center"/>
    </xf>
    <xf numFmtId="172" fontId="272" fillId="3" borderId="176" xfId="0" applyNumberFormat="1" applyFont="1" applyFill="1" applyBorder="1"/>
    <xf numFmtId="0" fontId="112" fillId="3" borderId="0" xfId="0" applyFont="1" applyFill="1" applyAlignment="1">
      <alignment horizontal="right" vertical="center"/>
    </xf>
    <xf numFmtId="1" fontId="123" fillId="3" borderId="0" xfId="0" applyNumberFormat="1" applyFont="1" applyFill="1" applyAlignment="1">
      <alignment horizontal="center" vertical="center"/>
    </xf>
    <xf numFmtId="3" fontId="273" fillId="3" borderId="0" xfId="0" applyNumberFormat="1" applyFont="1" applyFill="1" applyAlignment="1">
      <alignment horizontal="center" vertical="center"/>
    </xf>
    <xf numFmtId="1" fontId="112" fillId="3" borderId="0" xfId="0" applyNumberFormat="1" applyFont="1" applyFill="1" applyAlignment="1">
      <alignment horizontal="center" vertical="center"/>
    </xf>
    <xf numFmtId="172" fontId="267" fillId="0" borderId="0" xfId="0" applyNumberFormat="1" applyFont="1"/>
    <xf numFmtId="172" fontId="274" fillId="3" borderId="72" xfId="0" applyNumberFormat="1" applyFont="1" applyFill="1" applyBorder="1" applyAlignment="1">
      <alignment horizontal="center" vertical="center"/>
    </xf>
    <xf numFmtId="4" fontId="267" fillId="0" borderId="0" xfId="0" applyNumberFormat="1" applyFont="1"/>
    <xf numFmtId="0" fontId="15" fillId="3" borderId="0" xfId="0" quotePrefix="1" applyFont="1" applyFill="1"/>
    <xf numFmtId="172" fontId="244" fillId="0" borderId="0" xfId="0" applyNumberFormat="1" applyFont="1"/>
    <xf numFmtId="0" fontId="244" fillId="0" borderId="0" xfId="0" applyFont="1"/>
    <xf numFmtId="172" fontId="244" fillId="3" borderId="0" xfId="0" applyNumberFormat="1" applyFont="1" applyFill="1"/>
    <xf numFmtId="172" fontId="275" fillId="0" borderId="0" xfId="0" applyNumberFormat="1" applyFont="1"/>
    <xf numFmtId="0" fontId="275" fillId="0" borderId="0" xfId="0" applyFont="1"/>
    <xf numFmtId="172" fontId="275" fillId="3" borderId="0" xfId="0" applyNumberFormat="1" applyFont="1" applyFill="1"/>
    <xf numFmtId="0" fontId="275" fillId="3" borderId="0" xfId="0" applyFont="1" applyFill="1"/>
    <xf numFmtId="0" fontId="276" fillId="3" borderId="0" xfId="0" applyFont="1" applyFill="1" applyAlignment="1">
      <alignment horizontal="center" wrapText="1"/>
    </xf>
    <xf numFmtId="0" fontId="104" fillId="41" borderId="177" xfId="0" applyFont="1" applyFill="1" applyBorder="1"/>
    <xf numFmtId="0" fontId="276" fillId="41" borderId="177" xfId="0" applyFont="1" applyFill="1" applyBorder="1" applyAlignment="1">
      <alignment horizontal="center" wrapText="1"/>
    </xf>
    <xf numFmtId="0" fontId="15" fillId="0" borderId="72" xfId="0" applyFont="1" applyBorder="1"/>
    <xf numFmtId="0" fontId="166" fillId="32" borderId="76" xfId="0" applyFont="1" applyFill="1" applyBorder="1" applyAlignment="1">
      <alignment horizontal="center" vertical="center" wrapText="1"/>
    </xf>
    <xf numFmtId="0" fontId="166" fillId="32" borderId="177" xfId="0" applyFont="1" applyFill="1" applyBorder="1" applyAlignment="1">
      <alignment horizontal="center" vertical="center" wrapText="1"/>
    </xf>
    <xf numFmtId="0" fontId="47" fillId="32" borderId="72" xfId="0" applyFont="1" applyFill="1" applyBorder="1" applyAlignment="1">
      <alignment horizontal="center" vertical="center" wrapText="1"/>
    </xf>
    <xf numFmtId="0" fontId="104" fillId="3" borderId="72" xfId="0" applyFont="1" applyFill="1" applyBorder="1" applyAlignment="1">
      <alignment horizontal="center" wrapText="1"/>
    </xf>
    <xf numFmtId="0" fontId="104" fillId="3" borderId="72" xfId="0" applyFont="1" applyFill="1" applyBorder="1" applyAlignment="1">
      <alignment wrapText="1"/>
    </xf>
    <xf numFmtId="0" fontId="15" fillId="3" borderId="72" xfId="0" applyFont="1" applyFill="1" applyBorder="1" applyAlignment="1">
      <alignment horizontal="right" wrapText="1"/>
    </xf>
    <xf numFmtId="4" fontId="15" fillId="3" borderId="72" xfId="0" applyNumberFormat="1" applyFont="1" applyFill="1" applyBorder="1" applyAlignment="1">
      <alignment horizontal="right" wrapText="1"/>
    </xf>
    <xf numFmtId="0" fontId="104" fillId="3" borderId="177" xfId="0" applyFont="1" applyFill="1" applyBorder="1" applyAlignment="1">
      <alignment horizontal="center" vertical="center" wrapText="1"/>
    </xf>
    <xf numFmtId="0" fontId="277" fillId="0" borderId="72" xfId="0" applyFont="1" applyBorder="1" applyAlignment="1">
      <alignment horizontal="center" vertical="center"/>
    </xf>
    <xf numFmtId="0" fontId="104" fillId="8" borderId="76" xfId="0" applyFont="1" applyFill="1" applyBorder="1" applyAlignment="1">
      <alignment horizontal="center" vertical="center" wrapText="1"/>
    </xf>
    <xf numFmtId="0" fontId="104" fillId="3" borderId="177" xfId="0" applyFont="1" applyFill="1" applyBorder="1" applyAlignment="1">
      <alignment vertical="center" wrapText="1"/>
    </xf>
    <xf numFmtId="0" fontId="104" fillId="8" borderId="177" xfId="0" applyFont="1" applyFill="1" applyBorder="1" applyAlignment="1">
      <alignment vertical="center" wrapText="1"/>
    </xf>
    <xf numFmtId="0" fontId="104" fillId="8" borderId="177" xfId="0" applyFont="1" applyFill="1" applyBorder="1" applyAlignment="1">
      <alignment horizontal="center" vertical="center" wrapText="1"/>
    </xf>
    <xf numFmtId="4" fontId="104" fillId="8" borderId="177" xfId="0" applyNumberFormat="1" applyFont="1" applyFill="1" applyBorder="1" applyAlignment="1">
      <alignment horizontal="center" vertical="center" wrapText="1"/>
    </xf>
    <xf numFmtId="0" fontId="104" fillId="3" borderId="76" xfId="0" applyFont="1" applyFill="1" applyBorder="1" applyAlignment="1">
      <alignment horizontal="center" vertical="center" wrapText="1"/>
    </xf>
    <xf numFmtId="0" fontId="277" fillId="0" borderId="72" xfId="0" applyFont="1" applyBorder="1" applyAlignment="1">
      <alignment vertical="center"/>
    </xf>
    <xf numFmtId="4" fontId="277" fillId="0" borderId="72" xfId="0" applyNumberFormat="1" applyFont="1" applyBorder="1" applyAlignment="1">
      <alignment horizontal="center" vertical="center"/>
    </xf>
    <xf numFmtId="0" fontId="278" fillId="0" borderId="72" xfId="0" applyFont="1" applyBorder="1" applyAlignment="1">
      <alignment horizontal="center" vertical="center"/>
    </xf>
    <xf numFmtId="0" fontId="279" fillId="8" borderId="177" xfId="0" applyFont="1" applyFill="1" applyBorder="1" applyAlignment="1">
      <alignment horizontal="center" vertical="center" wrapText="1"/>
    </xf>
    <xf numFmtId="4" fontId="277" fillId="0" borderId="72" xfId="0" applyNumberFormat="1" applyFont="1" applyBorder="1" applyAlignment="1">
      <alignment horizontal="right" vertical="center"/>
    </xf>
    <xf numFmtId="3" fontId="102" fillId="0" borderId="17" xfId="0" applyNumberFormat="1" applyFont="1" applyBorder="1" applyAlignment="1">
      <alignment horizontal="center" vertical="center" wrapText="1"/>
    </xf>
    <xf numFmtId="9" fontId="102" fillId="3" borderId="17" xfId="0" applyNumberFormat="1" applyFont="1" applyFill="1" applyBorder="1" applyAlignment="1">
      <alignment horizontal="center" vertical="center" wrapText="1"/>
    </xf>
    <xf numFmtId="4" fontId="100" fillId="0" borderId="17" xfId="0" applyNumberFormat="1" applyFont="1" applyBorder="1" applyAlignment="1">
      <alignment horizontal="center" vertical="center" wrapText="1"/>
    </xf>
    <xf numFmtId="3" fontId="101" fillId="0" borderId="109" xfId="0" applyNumberFormat="1" applyFont="1" applyBorder="1" applyAlignment="1">
      <alignment vertical="center"/>
    </xf>
    <xf numFmtId="4" fontId="166" fillId="28" borderId="72" xfId="0" applyNumberFormat="1" applyFont="1" applyFill="1" applyBorder="1" applyAlignment="1">
      <alignment horizontal="right" vertical="center"/>
    </xf>
    <xf numFmtId="4" fontId="102" fillId="0" borderId="72" xfId="0" applyNumberFormat="1" applyFont="1" applyBorder="1"/>
    <xf numFmtId="4" fontId="102" fillId="0" borderId="72" xfId="0" applyNumberFormat="1" applyFont="1" applyBorder="1" applyAlignment="1">
      <alignment horizontal="center"/>
    </xf>
    <xf numFmtId="4" fontId="181" fillId="0" borderId="0" xfId="0" applyNumberFormat="1" applyFont="1" applyAlignment="1">
      <alignment horizontal="center" vertical="center"/>
    </xf>
    <xf numFmtId="0" fontId="102" fillId="0" borderId="0" xfId="0" applyFont="1" applyAlignment="1">
      <alignment horizontal="left"/>
    </xf>
    <xf numFmtId="0" fontId="125" fillId="0" borderId="0" xfId="0" applyFont="1" applyAlignment="1">
      <alignment horizontal="center"/>
    </xf>
    <xf numFmtId="174" fontId="151" fillId="0" borderId="0" xfId="0" applyNumberFormat="1" applyFont="1" applyAlignment="1">
      <alignment horizontal="center" vertical="center"/>
    </xf>
    <xf numFmtId="0" fontId="64" fillId="3" borderId="13" xfId="0" applyFont="1" applyFill="1" applyBorder="1"/>
    <xf numFmtId="0" fontId="47" fillId="3" borderId="13" xfId="0" applyFont="1" applyFill="1" applyBorder="1"/>
    <xf numFmtId="0" fontId="47" fillId="3" borderId="13" xfId="0" applyFont="1" applyFill="1" applyBorder="1" applyAlignment="1">
      <alignment horizontal="right"/>
    </xf>
    <xf numFmtId="0" fontId="81" fillId="3" borderId="13" xfId="0" applyFont="1" applyFill="1" applyBorder="1" applyAlignment="1">
      <alignment horizontal="right"/>
    </xf>
    <xf numFmtId="0" fontId="175" fillId="3" borderId="13" xfId="0" applyFont="1" applyFill="1" applyBorder="1"/>
    <xf numFmtId="0" fontId="47" fillId="23" borderId="72" xfId="0" applyFont="1" applyFill="1" applyBorder="1"/>
    <xf numFmtId="0" fontId="47" fillId="23" borderId="80" xfId="0" applyFont="1" applyFill="1" applyBorder="1" applyAlignment="1">
      <alignment horizontal="center"/>
    </xf>
    <xf numFmtId="0" fontId="47" fillId="23" borderId="80" xfId="0" applyFont="1" applyFill="1" applyBorder="1" applyAlignment="1">
      <alignment horizontal="right" wrapText="1"/>
    </xf>
    <xf numFmtId="0" fontId="81" fillId="23" borderId="80" xfId="0" applyFont="1" applyFill="1" applyBorder="1" applyAlignment="1">
      <alignment horizontal="right" wrapText="1"/>
    </xf>
    <xf numFmtId="0" fontId="15" fillId="23" borderId="181" xfId="0" applyFont="1" applyFill="1" applyBorder="1"/>
    <xf numFmtId="0" fontId="15" fillId="23" borderId="14" xfId="0" applyFont="1" applyFill="1" applyBorder="1"/>
    <xf numFmtId="0" fontId="15" fillId="23" borderId="177" xfId="0" applyFont="1" applyFill="1" applyBorder="1"/>
    <xf numFmtId="0" fontId="15" fillId="23" borderId="177" xfId="0" applyFont="1" applyFill="1" applyBorder="1" applyAlignment="1">
      <alignment horizontal="center"/>
    </xf>
    <xf numFmtId="4" fontId="15" fillId="23" borderId="177" xfId="0" applyNumberFormat="1" applyFont="1" applyFill="1" applyBorder="1" applyAlignment="1">
      <alignment horizontal="right"/>
    </xf>
    <xf numFmtId="2" fontId="15" fillId="23" borderId="177" xfId="0" applyNumberFormat="1" applyFont="1" applyFill="1" applyBorder="1" applyAlignment="1">
      <alignment horizontal="right"/>
    </xf>
    <xf numFmtId="10" fontId="15" fillId="23" borderId="177" xfId="0" applyNumberFormat="1" applyFont="1" applyFill="1" applyBorder="1" applyAlignment="1">
      <alignment horizontal="center"/>
    </xf>
    <xf numFmtId="4" fontId="15" fillId="3" borderId="118" xfId="0" applyNumberFormat="1" applyFont="1" applyFill="1" applyBorder="1"/>
    <xf numFmtId="10" fontId="47" fillId="23" borderId="177" xfId="0" applyNumberFormat="1" applyFont="1" applyFill="1" applyBorder="1" applyAlignment="1">
      <alignment horizontal="center"/>
    </xf>
    <xf numFmtId="4" fontId="47" fillId="24" borderId="177" xfId="0" applyNumberFormat="1" applyFont="1" applyFill="1" applyBorder="1" applyAlignment="1">
      <alignment horizontal="center"/>
    </xf>
    <xf numFmtId="4" fontId="281" fillId="24" borderId="177" xfId="0" applyNumberFormat="1" applyFont="1" applyFill="1" applyBorder="1" applyAlignment="1">
      <alignment horizontal="center"/>
    </xf>
    <xf numFmtId="4" fontId="15" fillId="3" borderId="13" xfId="0" applyNumberFormat="1" applyFont="1" applyFill="1" applyBorder="1"/>
    <xf numFmtId="0" fontId="15" fillId="3" borderId="14" xfId="0" applyFont="1" applyFill="1" applyBorder="1"/>
    <xf numFmtId="4" fontId="15" fillId="3" borderId="177" xfId="0" applyNumberFormat="1" applyFont="1" applyFill="1" applyBorder="1"/>
    <xf numFmtId="0" fontId="47" fillId="24" borderId="72" xfId="0" applyFont="1" applyFill="1" applyBorder="1" applyAlignment="1">
      <alignment horizontal="center"/>
    </xf>
    <xf numFmtId="2" fontId="66" fillId="24" borderId="117" xfId="0" applyNumberFormat="1" applyFont="1" applyFill="1" applyBorder="1" applyAlignment="1">
      <alignment horizontal="center" wrapText="1"/>
    </xf>
    <xf numFmtId="0" fontId="182" fillId="24" borderId="81" xfId="0" applyFont="1" applyFill="1" applyBorder="1"/>
    <xf numFmtId="0" fontId="15" fillId="23" borderId="69" xfId="0" applyFont="1" applyFill="1" applyBorder="1" applyAlignment="1">
      <alignment vertical="center"/>
    </xf>
    <xf numFmtId="4" fontId="282" fillId="23" borderId="80" xfId="0" applyNumberFormat="1" applyFont="1" applyFill="1" applyBorder="1" applyAlignment="1">
      <alignment vertical="center"/>
    </xf>
    <xf numFmtId="2" fontId="47" fillId="24" borderId="177" xfId="0" applyNumberFormat="1" applyFont="1" applyFill="1" applyBorder="1" applyAlignment="1">
      <alignment horizontal="center" vertical="center"/>
    </xf>
    <xf numFmtId="4" fontId="283" fillId="24" borderId="177" xfId="0" applyNumberFormat="1" applyFont="1" applyFill="1" applyBorder="1" applyAlignment="1">
      <alignment horizontal="center" vertical="center"/>
    </xf>
    <xf numFmtId="0" fontId="66" fillId="24" borderId="76" xfId="0" applyFont="1" applyFill="1" applyBorder="1" applyAlignment="1">
      <alignment horizontal="center" wrapText="1"/>
    </xf>
    <xf numFmtId="4" fontId="282" fillId="23" borderId="177" xfId="0" applyNumberFormat="1" applyFont="1" applyFill="1" applyBorder="1" applyAlignment="1">
      <alignment vertical="center"/>
    </xf>
    <xf numFmtId="4" fontId="281" fillId="24" borderId="177" xfId="0" applyNumberFormat="1" applyFont="1" applyFill="1" applyBorder="1" applyAlignment="1">
      <alignment horizontal="center" vertical="center"/>
    </xf>
    <xf numFmtId="3" fontId="217" fillId="37" borderId="72" xfId="0" applyNumberFormat="1" applyFont="1" applyFill="1" applyBorder="1" applyAlignment="1">
      <alignment horizontal="center"/>
    </xf>
    <xf numFmtId="0" fontId="175" fillId="24" borderId="81" xfId="0" applyFont="1" applyFill="1" applyBorder="1"/>
    <xf numFmtId="2" fontId="114" fillId="24" borderId="80" xfId="0" applyNumberFormat="1" applyFont="1" applyFill="1" applyBorder="1"/>
    <xf numFmtId="2" fontId="218" fillId="24" borderId="72" xfId="0" applyNumberFormat="1" applyFont="1" applyFill="1" applyBorder="1"/>
    <xf numFmtId="0" fontId="15" fillId="3" borderId="81" xfId="0" applyFont="1" applyFill="1" applyBorder="1" applyAlignment="1">
      <alignment horizontal="center"/>
    </xf>
    <xf numFmtId="0" fontId="15" fillId="3" borderId="69" xfId="0" applyFont="1" applyFill="1" applyBorder="1" applyAlignment="1">
      <alignment horizontal="center"/>
    </xf>
    <xf numFmtId="0" fontId="15" fillId="3" borderId="80" xfId="0" applyFont="1" applyFill="1" applyBorder="1" applyAlignment="1">
      <alignment horizontal="center"/>
    </xf>
    <xf numFmtId="0" fontId="175" fillId="3" borderId="14" xfId="0" applyFont="1" applyFill="1" applyBorder="1"/>
    <xf numFmtId="0" fontId="175" fillId="3" borderId="178" xfId="0" applyFont="1" applyFill="1" applyBorder="1"/>
    <xf numFmtId="0" fontId="127" fillId="3" borderId="81" xfId="0" applyFont="1" applyFill="1" applyBorder="1" applyAlignment="1">
      <alignment vertical="center"/>
    </xf>
    <xf numFmtId="0" fontId="212" fillId="3" borderId="80" xfId="0" applyFont="1" applyFill="1" applyBorder="1" applyAlignment="1">
      <alignment vertical="center"/>
    </xf>
    <xf numFmtId="4" fontId="213" fillId="3" borderId="69" xfId="0" applyNumberFormat="1" applyFont="1" applyFill="1" applyBorder="1" applyAlignment="1">
      <alignment horizontal="center" vertical="center"/>
    </xf>
    <xf numFmtId="0" fontId="195" fillId="3" borderId="80" xfId="0" applyFont="1" applyFill="1" applyBorder="1" applyAlignment="1">
      <alignment vertical="center"/>
    </xf>
    <xf numFmtId="4" fontId="214" fillId="3" borderId="69" xfId="0" applyNumberFormat="1" applyFont="1" applyFill="1" applyBorder="1" applyAlignment="1">
      <alignment horizontal="center" vertical="center"/>
    </xf>
    <xf numFmtId="0" fontId="215" fillId="3" borderId="69" xfId="0" applyFont="1" applyFill="1" applyBorder="1" applyAlignment="1">
      <alignment vertical="center"/>
    </xf>
    <xf numFmtId="4" fontId="216" fillId="3" borderId="69" xfId="0" applyNumberFormat="1" applyFont="1" applyFill="1" applyBorder="1" applyAlignment="1">
      <alignment horizontal="center" vertical="center"/>
    </xf>
    <xf numFmtId="3" fontId="217" fillId="3" borderId="72" xfId="0" applyNumberFormat="1" applyFont="1" applyFill="1" applyBorder="1" applyAlignment="1">
      <alignment horizontal="center" vertical="center"/>
    </xf>
    <xf numFmtId="2" fontId="218" fillId="37" borderId="80" xfId="0" applyNumberFormat="1" applyFont="1" applyFill="1" applyBorder="1" applyAlignment="1">
      <alignment vertical="center"/>
    </xf>
    <xf numFmtId="3" fontId="202" fillId="10" borderId="81" xfId="0" applyNumberFormat="1" applyFont="1" applyFill="1" applyBorder="1" applyAlignment="1">
      <alignment horizontal="center" vertical="center" wrapText="1"/>
    </xf>
    <xf numFmtId="10" fontId="102" fillId="0" borderId="25" xfId="0" applyNumberFormat="1" applyFont="1" applyBorder="1" applyAlignment="1">
      <alignment horizontal="center" vertical="center"/>
    </xf>
    <xf numFmtId="0" fontId="102" fillId="0" borderId="109" xfId="0" applyFont="1" applyBorder="1" applyAlignment="1">
      <alignment horizontal="left" vertical="center" wrapText="1"/>
    </xf>
    <xf numFmtId="0" fontId="102" fillId="19" borderId="72" xfId="0" applyFont="1" applyFill="1" applyBorder="1" applyAlignment="1">
      <alignment horizontal="center" vertical="center" wrapText="1"/>
    </xf>
    <xf numFmtId="4" fontId="100" fillId="37" borderId="185" xfId="0" applyNumberFormat="1" applyFont="1" applyFill="1" applyBorder="1" applyAlignment="1">
      <alignment horizontal="center" vertical="center" wrapText="1"/>
    </xf>
    <xf numFmtId="0" fontId="100" fillId="3" borderId="186" xfId="0" applyFont="1" applyFill="1" applyBorder="1" applyAlignment="1">
      <alignment horizontal="left" vertical="center" wrapText="1"/>
    </xf>
    <xf numFmtId="4" fontId="100" fillId="3" borderId="185" xfId="0" applyNumberFormat="1" applyFont="1" applyFill="1" applyBorder="1" applyAlignment="1">
      <alignment horizontal="center" vertical="center" wrapText="1"/>
    </xf>
    <xf numFmtId="0" fontId="100" fillId="3" borderId="187" xfId="0" applyFont="1" applyFill="1" applyBorder="1" applyAlignment="1">
      <alignment horizontal="left" vertical="center" wrapText="1"/>
    </xf>
    <xf numFmtId="0" fontId="284" fillId="0" borderId="0" xfId="0" applyFont="1"/>
    <xf numFmtId="2" fontId="100" fillId="3" borderId="188" xfId="0" applyNumberFormat="1" applyFont="1" applyFill="1" applyBorder="1" applyAlignment="1">
      <alignment horizontal="center" vertical="center" wrapText="1"/>
    </xf>
    <xf numFmtId="0" fontId="100" fillId="3" borderId="106" xfId="0" applyFont="1" applyFill="1" applyBorder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 wrapText="1"/>
    </xf>
    <xf numFmtId="0" fontId="100" fillId="3" borderId="17" xfId="0" applyFont="1" applyFill="1" applyBorder="1" applyAlignment="1">
      <alignment horizontal="center" vertical="center" wrapText="1"/>
    </xf>
    <xf numFmtId="0" fontId="166" fillId="35" borderId="25" xfId="0" applyFont="1" applyFill="1" applyBorder="1" applyAlignment="1">
      <alignment horizontal="center" vertical="center" wrapText="1"/>
    </xf>
    <xf numFmtId="2" fontId="99" fillId="0" borderId="189" xfId="0" applyNumberFormat="1" applyFont="1" applyBorder="1" applyAlignment="1">
      <alignment horizontal="left" vertical="center" wrapText="1"/>
    </xf>
    <xf numFmtId="4" fontId="99" fillId="0" borderId="189" xfId="0" applyNumberFormat="1" applyFont="1" applyBorder="1" applyAlignment="1">
      <alignment horizontal="center" vertical="center" wrapText="1"/>
    </xf>
    <xf numFmtId="0" fontId="99" fillId="0" borderId="189" xfId="0" applyFont="1" applyBorder="1" applyAlignment="1">
      <alignment horizontal="left" vertical="center" wrapText="1"/>
    </xf>
    <xf numFmtId="10" fontId="1" fillId="0" borderId="189" xfId="0" applyNumberFormat="1" applyFont="1" applyBorder="1" applyAlignment="1">
      <alignment horizontal="center" vertical="center"/>
    </xf>
    <xf numFmtId="4" fontId="285" fillId="0" borderId="190" xfId="0" applyNumberFormat="1" applyFont="1" applyBorder="1" applyAlignment="1">
      <alignment horizontal="center" vertical="center"/>
    </xf>
    <xf numFmtId="4" fontId="102" fillId="0" borderId="110" xfId="0" applyNumberFormat="1" applyFont="1" applyBorder="1" applyAlignment="1">
      <alignment horizontal="right" vertical="center"/>
    </xf>
    <xf numFmtId="2" fontId="99" fillId="0" borderId="94" xfId="0" applyNumberFormat="1" applyFont="1" applyBorder="1" applyAlignment="1">
      <alignment horizontal="left" vertical="center" wrapText="1"/>
    </xf>
    <xf numFmtId="3" fontId="1" fillId="0" borderId="94" xfId="0" applyNumberFormat="1" applyFont="1" applyBorder="1" applyAlignment="1">
      <alignment horizontal="center" vertical="center"/>
    </xf>
    <xf numFmtId="3" fontId="140" fillId="0" borderId="193" xfId="0" applyNumberFormat="1" applyFont="1" applyBorder="1" applyAlignment="1">
      <alignment horizontal="center" vertical="center"/>
    </xf>
    <xf numFmtId="4" fontId="129" fillId="0" borderId="97" xfId="0" applyNumberFormat="1" applyFont="1" applyBorder="1" applyAlignment="1">
      <alignment horizontal="right" vertical="center"/>
    </xf>
    <xf numFmtId="166" fontId="99" fillId="0" borderId="196" xfId="0" applyNumberFormat="1" applyFont="1" applyBorder="1" applyAlignment="1">
      <alignment horizontal="center" vertical="center" wrapText="1"/>
    </xf>
    <xf numFmtId="0" fontId="1" fillId="0" borderId="196" xfId="0" applyFont="1" applyBorder="1" applyAlignment="1">
      <alignment horizontal="left" vertical="center"/>
    </xf>
    <xf numFmtId="4" fontId="285" fillId="0" borderId="197" xfId="0" applyNumberFormat="1" applyFont="1" applyBorder="1" applyAlignment="1">
      <alignment horizontal="center" vertical="center"/>
    </xf>
    <xf numFmtId="2" fontId="286" fillId="0" borderId="198" xfId="0" applyNumberFormat="1" applyFont="1" applyBorder="1" applyAlignment="1">
      <alignment horizontal="center" vertical="center"/>
    </xf>
    <xf numFmtId="4" fontId="287" fillId="0" borderId="198" xfId="0" applyNumberFormat="1" applyFont="1" applyBorder="1" applyAlignment="1">
      <alignment horizontal="center" vertical="center" wrapText="1"/>
    </xf>
    <xf numFmtId="10" fontId="1" fillId="0" borderId="110" xfId="0" applyNumberFormat="1" applyFont="1" applyBorder="1" applyAlignment="1">
      <alignment horizontal="center" vertical="center"/>
    </xf>
    <xf numFmtId="4" fontId="129" fillId="0" borderId="25" xfId="0" applyNumberFormat="1" applyFont="1" applyBorder="1" applyAlignment="1">
      <alignment horizontal="right" vertical="center"/>
    </xf>
    <xf numFmtId="2" fontId="15" fillId="0" borderId="94" xfId="0" applyNumberFormat="1" applyFont="1" applyBorder="1" applyAlignment="1">
      <alignment horizontal="center" vertical="center"/>
    </xf>
    <xf numFmtId="3" fontId="15" fillId="37" borderId="94" xfId="0" applyNumberFormat="1" applyFont="1" applyFill="1" applyBorder="1" applyAlignment="1">
      <alignment horizontal="center" vertical="center"/>
    </xf>
    <xf numFmtId="166" fontId="1" fillId="0" borderId="94" xfId="0" applyNumberFormat="1" applyFont="1" applyBorder="1" applyAlignment="1">
      <alignment horizontal="center" vertical="center"/>
    </xf>
    <xf numFmtId="4" fontId="285" fillId="0" borderId="193" xfId="0" applyNumberFormat="1" applyFont="1" applyBorder="1" applyAlignment="1">
      <alignment horizontal="center" vertical="center"/>
    </xf>
    <xf numFmtId="4" fontId="100" fillId="0" borderId="29" xfId="0" applyNumberFormat="1" applyFont="1" applyBorder="1" applyAlignment="1">
      <alignment horizontal="right" vertical="center"/>
    </xf>
    <xf numFmtId="2" fontId="15" fillId="0" borderId="196" xfId="0" applyNumberFormat="1" applyFont="1" applyBorder="1" applyAlignment="1">
      <alignment horizontal="center" vertical="center"/>
    </xf>
    <xf numFmtId="3" fontId="15" fillId="37" borderId="196" xfId="0" applyNumberFormat="1" applyFont="1" applyFill="1" applyBorder="1" applyAlignment="1">
      <alignment horizontal="center" vertical="center"/>
    </xf>
    <xf numFmtId="166" fontId="1" fillId="0" borderId="196" xfId="0" applyNumberFormat="1" applyFont="1" applyBorder="1" applyAlignment="1">
      <alignment horizontal="center" vertical="center"/>
    </xf>
    <xf numFmtId="4" fontId="102" fillId="0" borderId="97" xfId="0" applyNumberFormat="1" applyFont="1" applyBorder="1" applyAlignment="1">
      <alignment horizontal="right" vertical="center"/>
    </xf>
    <xf numFmtId="0" fontId="102" fillId="10" borderId="72" xfId="0" applyFont="1" applyFill="1" applyBorder="1" applyAlignment="1">
      <alignment horizontal="center" vertical="center"/>
    </xf>
    <xf numFmtId="4" fontId="285" fillId="0" borderId="199" xfId="0" applyNumberFormat="1" applyFont="1" applyBorder="1" applyAlignment="1">
      <alignment horizontal="center" vertical="center"/>
    </xf>
    <xf numFmtId="4" fontId="285" fillId="0" borderId="200" xfId="0" applyNumberFormat="1" applyFont="1" applyBorder="1" applyAlignment="1">
      <alignment horizontal="center" vertical="center"/>
    </xf>
    <xf numFmtId="4" fontId="102" fillId="0" borderId="17" xfId="0" applyNumberFormat="1" applyFont="1" applyBorder="1" applyAlignment="1">
      <alignment horizontal="right" vertical="center"/>
    </xf>
    <xf numFmtId="174" fontId="15" fillId="0" borderId="189" xfId="0" applyNumberFormat="1" applyFont="1" applyBorder="1" applyAlignment="1">
      <alignment horizontal="center" vertical="center"/>
    </xf>
    <xf numFmtId="4" fontId="102" fillId="0" borderId="110" xfId="0" applyNumberFormat="1" applyFont="1" applyBorder="1" applyAlignment="1">
      <alignment horizontal="center" vertical="center"/>
    </xf>
    <xf numFmtId="3" fontId="288" fillId="0" borderId="193" xfId="0" applyNumberFormat="1" applyFont="1" applyBorder="1" applyAlignment="1">
      <alignment horizontal="center" vertical="center"/>
    </xf>
    <xf numFmtId="10" fontId="15" fillId="0" borderId="196" xfId="0" applyNumberFormat="1" applyFont="1" applyBorder="1" applyAlignment="1">
      <alignment horizontal="center" vertical="center"/>
    </xf>
    <xf numFmtId="4" fontId="102" fillId="0" borderId="106" xfId="0" applyNumberFormat="1" applyFont="1" applyBorder="1" applyAlignment="1">
      <alignment horizontal="right" vertical="center"/>
    </xf>
    <xf numFmtId="0" fontId="99" fillId="0" borderId="16" xfId="0" applyFont="1" applyBorder="1" applyAlignment="1">
      <alignment horizontal="left" vertical="center" wrapText="1"/>
    </xf>
    <xf numFmtId="4" fontId="285" fillId="0" borderId="209" xfId="0" applyNumberFormat="1" applyFont="1" applyBorder="1" applyAlignment="1">
      <alignment horizontal="center" vertical="center"/>
    </xf>
    <xf numFmtId="9" fontId="285" fillId="0" borderId="186" xfId="0" applyNumberFormat="1" applyFont="1" applyBorder="1" applyAlignment="1">
      <alignment horizontal="center" vertical="center"/>
    </xf>
    <xf numFmtId="174" fontId="290" fillId="0" borderId="16" xfId="0" applyNumberFormat="1" applyFont="1" applyBorder="1" applyAlignment="1">
      <alignment vertical="center"/>
    </xf>
    <xf numFmtId="3" fontId="285" fillId="0" borderId="210" xfId="0" applyNumberFormat="1" applyFont="1" applyBorder="1" applyAlignment="1">
      <alignment horizontal="center" vertical="center"/>
    </xf>
    <xf numFmtId="0" fontId="15" fillId="23" borderId="69" xfId="0" applyFont="1" applyFill="1" applyBorder="1"/>
    <xf numFmtId="4" fontId="15" fillId="23" borderId="80" xfId="0" applyNumberFormat="1" applyFont="1" applyFill="1" applyBorder="1"/>
    <xf numFmtId="2" fontId="47" fillId="24" borderId="177" xfId="0" applyNumberFormat="1" applyFont="1" applyFill="1" applyBorder="1" applyAlignment="1">
      <alignment horizontal="center"/>
    </xf>
    <xf numFmtId="4" fontId="283" fillId="24" borderId="177" xfId="0" applyNumberFormat="1" applyFont="1" applyFill="1" applyBorder="1" applyAlignment="1">
      <alignment horizontal="center"/>
    </xf>
    <xf numFmtId="4" fontId="282" fillId="23" borderId="177" xfId="0" applyNumberFormat="1" applyFont="1" applyFill="1" applyBorder="1"/>
    <xf numFmtId="3" fontId="291" fillId="37" borderId="72" xfId="0" applyNumberFormat="1" applyFont="1" applyFill="1" applyBorder="1" applyAlignment="1">
      <alignment horizontal="center"/>
    </xf>
    <xf numFmtId="0" fontId="15" fillId="24" borderId="81" xfId="0" applyFont="1" applyFill="1" applyBorder="1"/>
    <xf numFmtId="2" fontId="114" fillId="24" borderId="80" xfId="0" applyNumberFormat="1" applyFont="1" applyFill="1" applyBorder="1" applyAlignment="1">
      <alignment horizontal="right"/>
    </xf>
    <xf numFmtId="2" fontId="218" fillId="24" borderId="72" xfId="0" applyNumberFormat="1" applyFont="1" applyFill="1" applyBorder="1" applyAlignment="1">
      <alignment horizontal="right"/>
    </xf>
    <xf numFmtId="0" fontId="15" fillId="3" borderId="178" xfId="0" applyFont="1" applyFill="1" applyBorder="1"/>
    <xf numFmtId="0" fontId="127" fillId="3" borderId="81" xfId="0" applyFont="1" applyFill="1" applyBorder="1"/>
    <xf numFmtId="0" fontId="212" fillId="3" borderId="80" xfId="0" applyFont="1" applyFill="1" applyBorder="1"/>
    <xf numFmtId="4" fontId="213" fillId="3" borderId="69" xfId="0" applyNumberFormat="1" applyFont="1" applyFill="1" applyBorder="1" applyAlignment="1">
      <alignment horizontal="center"/>
    </xf>
    <xf numFmtId="0" fontId="195" fillId="3" borderId="80" xfId="0" applyFont="1" applyFill="1" applyBorder="1"/>
    <xf numFmtId="4" fontId="214" fillId="3" borderId="69" xfId="0" applyNumberFormat="1" applyFont="1" applyFill="1" applyBorder="1" applyAlignment="1">
      <alignment horizontal="center"/>
    </xf>
    <xf numFmtId="0" fontId="215" fillId="3" borderId="69" xfId="0" applyFont="1" applyFill="1" applyBorder="1"/>
    <xf numFmtId="4" fontId="216" fillId="3" borderId="69" xfId="0" applyNumberFormat="1" applyFont="1" applyFill="1" applyBorder="1" applyAlignment="1">
      <alignment horizontal="center"/>
    </xf>
    <xf numFmtId="3" fontId="15" fillId="3" borderId="72" xfId="0" applyNumberFormat="1" applyFont="1" applyFill="1" applyBorder="1"/>
    <xf numFmtId="2" fontId="218" fillId="37" borderId="80" xfId="0" applyNumberFormat="1" applyFont="1" applyFill="1" applyBorder="1" applyAlignment="1">
      <alignment horizontal="right"/>
    </xf>
    <xf numFmtId="3" fontId="15" fillId="10" borderId="81" xfId="0" applyNumberFormat="1" applyFont="1" applyFill="1" applyBorder="1"/>
    <xf numFmtId="10" fontId="101" fillId="0" borderId="15" xfId="0" applyNumberFormat="1" applyFont="1" applyBorder="1" applyAlignment="1">
      <alignment vertical="center"/>
    </xf>
    <xf numFmtId="3" fontId="102" fillId="0" borderId="72" xfId="0" applyNumberFormat="1" applyFont="1" applyBorder="1" applyAlignment="1">
      <alignment horizontal="center" vertical="center" wrapText="1"/>
    </xf>
    <xf numFmtId="3" fontId="181" fillId="35" borderId="72" xfId="0" applyNumberFormat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1" fillId="3" borderId="0" xfId="0" applyFont="1" applyFill="1"/>
    <xf numFmtId="0" fontId="0" fillId="0" borderId="0" xfId="0"/>
    <xf numFmtId="0" fontId="3" fillId="4" borderId="2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5" fillId="6" borderId="6" xfId="0" applyFont="1" applyFill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34" fillId="12" borderId="36" xfId="0" applyFont="1" applyFill="1" applyBorder="1" applyAlignment="1">
      <alignment horizontal="center" vertical="center" wrapText="1"/>
    </xf>
    <xf numFmtId="0" fontId="4" fillId="0" borderId="49" xfId="0" applyFont="1" applyBorder="1"/>
    <xf numFmtId="0" fontId="4" fillId="0" borderId="58" xfId="0" applyFont="1" applyBorder="1"/>
    <xf numFmtId="0" fontId="36" fillId="12" borderId="36" xfId="0" applyFont="1" applyFill="1" applyBorder="1" applyAlignment="1">
      <alignment horizontal="center" vertical="center" wrapText="1"/>
    </xf>
    <xf numFmtId="0" fontId="37" fillId="12" borderId="36" xfId="0" applyFont="1" applyFill="1" applyBorder="1" applyAlignment="1">
      <alignment horizontal="center" vertical="center" wrapText="1"/>
    </xf>
    <xf numFmtId="0" fontId="38" fillId="13" borderId="37" xfId="0" applyFont="1" applyFill="1" applyBorder="1" applyAlignment="1">
      <alignment horizontal="center" vertical="center" textRotation="90" wrapText="1"/>
    </xf>
    <xf numFmtId="0" fontId="4" fillId="0" borderId="51" xfId="0" applyFont="1" applyBorder="1"/>
    <xf numFmtId="0" fontId="4" fillId="0" borderId="59" xfId="0" applyFont="1" applyBorder="1"/>
    <xf numFmtId="0" fontId="39" fillId="13" borderId="32" xfId="0" applyFont="1" applyFill="1" applyBorder="1" applyAlignment="1">
      <alignment horizontal="center" vertical="center" textRotation="90" wrapText="1"/>
    </xf>
    <xf numFmtId="0" fontId="4" fillId="0" borderId="45" xfId="0" applyFont="1" applyBorder="1"/>
    <xf numFmtId="0" fontId="4" fillId="0" borderId="55" xfId="0" applyFont="1" applyBorder="1"/>
    <xf numFmtId="0" fontId="39" fillId="13" borderId="38" xfId="0" applyFont="1" applyFill="1" applyBorder="1" applyAlignment="1">
      <alignment horizontal="center" vertical="center" wrapText="1"/>
    </xf>
    <xf numFmtId="0" fontId="4" fillId="0" borderId="46" xfId="0" applyFont="1" applyBorder="1"/>
    <xf numFmtId="0" fontId="4" fillId="0" borderId="60" xfId="0" applyFont="1" applyBorder="1"/>
    <xf numFmtId="0" fontId="39" fillId="13" borderId="39" xfId="0" applyFont="1" applyFill="1" applyBorder="1" applyAlignment="1">
      <alignment horizontal="center" vertical="center" wrapText="1"/>
    </xf>
    <xf numFmtId="0" fontId="4" fillId="0" borderId="40" xfId="0" applyFont="1" applyBorder="1"/>
    <xf numFmtId="0" fontId="4" fillId="0" borderId="41" xfId="0" applyFont="1" applyBorder="1"/>
    <xf numFmtId="0" fontId="39" fillId="13" borderId="36" xfId="0" applyFont="1" applyFill="1" applyBorder="1" applyAlignment="1">
      <alignment horizontal="center" vertical="center" wrapText="1"/>
    </xf>
    <xf numFmtId="0" fontId="39" fillId="13" borderId="42" xfId="0" applyFont="1" applyFill="1" applyBorder="1" applyAlignment="1">
      <alignment horizontal="center" vertical="center" wrapText="1"/>
    </xf>
    <xf numFmtId="0" fontId="4" fillId="0" borderId="61" xfId="0" applyFont="1" applyBorder="1"/>
    <xf numFmtId="0" fontId="37" fillId="13" borderId="36" xfId="0" applyFont="1" applyFill="1" applyBorder="1" applyAlignment="1">
      <alignment horizontal="center" vertical="center" wrapText="1"/>
    </xf>
    <xf numFmtId="0" fontId="41" fillId="12" borderId="33" xfId="0" applyFont="1" applyFill="1" applyBorder="1" applyAlignment="1">
      <alignment horizontal="center" wrapText="1"/>
    </xf>
    <xf numFmtId="0" fontId="4" fillId="0" borderId="56" xfId="0" applyFont="1" applyBorder="1"/>
    <xf numFmtId="0" fontId="42" fillId="12" borderId="33" xfId="0" applyFont="1" applyFill="1" applyBorder="1" applyAlignment="1">
      <alignment horizontal="center" wrapText="1"/>
    </xf>
    <xf numFmtId="0" fontId="32" fillId="12" borderId="30" xfId="0" applyFont="1" applyFill="1" applyBorder="1" applyAlignment="1">
      <alignment horizontal="center" vertical="center" textRotation="90" wrapText="1"/>
    </xf>
    <xf numFmtId="0" fontId="4" fillId="0" borderId="43" xfId="0" applyFont="1" applyBorder="1"/>
    <xf numFmtId="0" fontId="4" fillId="0" borderId="53" xfId="0" applyFont="1" applyBorder="1"/>
    <xf numFmtId="0" fontId="33" fillId="12" borderId="32" xfId="0" applyFont="1" applyFill="1" applyBorder="1" applyAlignment="1">
      <alignment horizontal="center" vertical="center" textRotation="90" wrapText="1"/>
    </xf>
    <xf numFmtId="0" fontId="33" fillId="12" borderId="33" xfId="0" applyFont="1" applyFill="1" applyBorder="1" applyAlignment="1">
      <alignment horizontal="center" vertical="center" wrapText="1"/>
    </xf>
    <xf numFmtId="0" fontId="33" fillId="12" borderId="34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35" xfId="0" applyFont="1" applyBorder="1"/>
    <xf numFmtId="0" fontId="40" fillId="13" borderId="33" xfId="0" applyFont="1" applyFill="1" applyBorder="1" applyAlignment="1">
      <alignment horizontal="center" wrapText="1"/>
    </xf>
    <xf numFmtId="0" fontId="40" fillId="12" borderId="33" xfId="0" applyFont="1" applyFill="1" applyBorder="1" applyAlignment="1">
      <alignment horizontal="center" wrapText="1"/>
    </xf>
    <xf numFmtId="0" fontId="40" fillId="3" borderId="33" xfId="0" applyFont="1" applyFill="1" applyBorder="1" applyAlignment="1">
      <alignment horizontal="center" wrapText="1"/>
    </xf>
    <xf numFmtId="0" fontId="39" fillId="12" borderId="36" xfId="0" applyFont="1" applyFill="1" applyBorder="1" applyAlignment="1">
      <alignment horizontal="center" vertical="center" wrapText="1"/>
    </xf>
    <xf numFmtId="0" fontId="38" fillId="3" borderId="37" xfId="0" applyFont="1" applyFill="1" applyBorder="1" applyAlignment="1">
      <alignment horizontal="center" vertical="center" textRotation="90" wrapText="1"/>
    </xf>
    <xf numFmtId="0" fontId="39" fillId="3" borderId="32" xfId="0" applyFont="1" applyFill="1" applyBorder="1" applyAlignment="1">
      <alignment horizontal="center" vertical="center" textRotation="90" wrapText="1"/>
    </xf>
    <xf numFmtId="0" fontId="39" fillId="3" borderId="42" xfId="0" applyFont="1" applyFill="1" applyBorder="1" applyAlignment="1">
      <alignment horizontal="center" vertical="center" wrapText="1"/>
    </xf>
    <xf numFmtId="0" fontId="39" fillId="3" borderId="39" xfId="0" applyFont="1" applyFill="1" applyBorder="1" applyAlignment="1">
      <alignment horizontal="center" vertical="center" wrapText="1"/>
    </xf>
    <xf numFmtId="0" fontId="39" fillId="3" borderId="36" xfId="0" applyFont="1" applyFill="1" applyBorder="1" applyAlignment="1">
      <alignment horizontal="center" vertical="center" wrapText="1"/>
    </xf>
    <xf numFmtId="0" fontId="30" fillId="3" borderId="26" xfId="0" applyFont="1" applyFill="1" applyBorder="1" applyAlignment="1">
      <alignment horizontal="center" vertical="center"/>
    </xf>
    <xf numFmtId="0" fontId="4" fillId="0" borderId="27" xfId="0" applyFont="1" applyBorder="1"/>
    <xf numFmtId="0" fontId="4" fillId="0" borderId="28" xfId="0" applyFont="1" applyBorder="1"/>
    <xf numFmtId="0" fontId="23" fillId="3" borderId="20" xfId="0" applyFont="1" applyFill="1" applyBorder="1" applyAlignment="1">
      <alignment horizontal="left"/>
    </xf>
    <xf numFmtId="0" fontId="4" fillId="0" borderId="21" xfId="0" applyFont="1" applyBorder="1"/>
    <xf numFmtId="0" fontId="4" fillId="0" borderId="22" xfId="0" applyFont="1" applyBorder="1"/>
    <xf numFmtId="0" fontId="24" fillId="3" borderId="20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 vertical="center"/>
    </xf>
    <xf numFmtId="0" fontId="4" fillId="0" borderId="12" xfId="0" applyFont="1" applyBorder="1"/>
    <xf numFmtId="0" fontId="21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0" fontId="23" fillId="9" borderId="20" xfId="0" applyFont="1" applyFill="1" applyBorder="1" applyAlignment="1">
      <alignment horizontal="left"/>
    </xf>
    <xf numFmtId="0" fontId="23" fillId="3" borderId="23" xfId="0" applyFont="1" applyFill="1" applyBorder="1" applyAlignment="1">
      <alignment horizontal="left"/>
    </xf>
    <xf numFmtId="0" fontId="4" fillId="0" borderId="19" xfId="0" applyFont="1" applyBorder="1"/>
    <xf numFmtId="0" fontId="4" fillId="0" borderId="24" xfId="0" applyFont="1" applyBorder="1"/>
    <xf numFmtId="0" fontId="26" fillId="12" borderId="26" xfId="0" applyFont="1" applyFill="1" applyBorder="1" applyAlignment="1">
      <alignment horizontal="center" vertical="center"/>
    </xf>
    <xf numFmtId="0" fontId="26" fillId="14" borderId="26" xfId="0" applyFont="1" applyFill="1" applyBorder="1" applyAlignment="1">
      <alignment horizontal="center" vertical="center"/>
    </xf>
    <xf numFmtId="0" fontId="26" fillId="15" borderId="26" xfId="0" applyFont="1" applyFill="1" applyBorder="1" applyAlignment="1">
      <alignment horizontal="center" vertical="center"/>
    </xf>
    <xf numFmtId="0" fontId="40" fillId="15" borderId="33" xfId="0" applyFont="1" applyFill="1" applyBorder="1" applyAlignment="1">
      <alignment horizontal="center" wrapText="1"/>
    </xf>
    <xf numFmtId="0" fontId="40" fillId="14" borderId="33" xfId="0" applyFont="1" applyFill="1" applyBorder="1" applyAlignment="1">
      <alignment horizontal="center" wrapText="1"/>
    </xf>
    <xf numFmtId="0" fontId="38" fillId="12" borderId="37" xfId="0" applyFont="1" applyFill="1" applyBorder="1" applyAlignment="1">
      <alignment horizontal="center" vertical="center" textRotation="90" wrapText="1"/>
    </xf>
    <xf numFmtId="0" fontId="39" fillId="12" borderId="32" xfId="0" applyFont="1" applyFill="1" applyBorder="1" applyAlignment="1">
      <alignment horizontal="center" vertical="center" textRotation="90" wrapText="1"/>
    </xf>
    <xf numFmtId="0" fontId="39" fillId="12" borderId="42" xfId="0" applyFont="1" applyFill="1" applyBorder="1" applyAlignment="1">
      <alignment horizontal="center" vertical="center" wrapText="1"/>
    </xf>
    <xf numFmtId="0" fontId="39" fillId="12" borderId="39" xfId="0" applyFont="1" applyFill="1" applyBorder="1" applyAlignment="1">
      <alignment horizontal="center" vertical="center" wrapText="1"/>
    </xf>
    <xf numFmtId="0" fontId="38" fillId="14" borderId="37" xfId="0" applyFont="1" applyFill="1" applyBorder="1" applyAlignment="1">
      <alignment horizontal="center" vertical="center" textRotation="90" wrapText="1"/>
    </xf>
    <xf numFmtId="0" fontId="39" fillId="14" borderId="32" xfId="0" applyFont="1" applyFill="1" applyBorder="1" applyAlignment="1">
      <alignment horizontal="center" vertical="center" textRotation="90" wrapText="1"/>
    </xf>
    <xf numFmtId="0" fontId="39" fillId="14" borderId="42" xfId="0" applyFont="1" applyFill="1" applyBorder="1" applyAlignment="1">
      <alignment horizontal="center" vertical="center" wrapText="1"/>
    </xf>
    <xf numFmtId="0" fontId="38" fillId="15" borderId="37" xfId="0" applyFont="1" applyFill="1" applyBorder="1" applyAlignment="1">
      <alignment horizontal="center" vertical="center" textRotation="90" wrapText="1"/>
    </xf>
    <xf numFmtId="0" fontId="39" fillId="14" borderId="39" xfId="0" applyFont="1" applyFill="1" applyBorder="1" applyAlignment="1">
      <alignment horizontal="center" vertical="center" wrapText="1"/>
    </xf>
    <xf numFmtId="0" fontId="39" fillId="14" borderId="36" xfId="0" applyFont="1" applyFill="1" applyBorder="1" applyAlignment="1">
      <alignment horizontal="center" vertical="center" wrapText="1"/>
    </xf>
    <xf numFmtId="49" fontId="40" fillId="15" borderId="34" xfId="0" applyNumberFormat="1" applyFont="1" applyFill="1" applyBorder="1" applyAlignment="1">
      <alignment horizontal="left" wrapText="1"/>
    </xf>
    <xf numFmtId="49" fontId="40" fillId="12" borderId="34" xfId="0" applyNumberFormat="1" applyFont="1" applyFill="1" applyBorder="1" applyAlignment="1">
      <alignment horizontal="left" wrapText="1"/>
    </xf>
    <xf numFmtId="49" fontId="40" fillId="14" borderId="34" xfId="0" applyNumberFormat="1" applyFont="1" applyFill="1" applyBorder="1" applyAlignment="1">
      <alignment horizontal="center" wrapText="1"/>
    </xf>
    <xf numFmtId="0" fontId="39" fillId="15" borderId="32" xfId="0" applyFont="1" applyFill="1" applyBorder="1" applyAlignment="1">
      <alignment horizontal="center" vertical="center" textRotation="90" wrapText="1"/>
    </xf>
    <xf numFmtId="0" fontId="39" fillId="15" borderId="42" xfId="0" applyFont="1" applyFill="1" applyBorder="1" applyAlignment="1">
      <alignment horizontal="center" vertical="center" wrapText="1"/>
    </xf>
    <xf numFmtId="0" fontId="39" fillId="15" borderId="39" xfId="0" applyFont="1" applyFill="1" applyBorder="1" applyAlignment="1">
      <alignment horizontal="center" vertical="center" wrapText="1"/>
    </xf>
    <xf numFmtId="0" fontId="39" fillId="15" borderId="36" xfId="0" applyFont="1" applyFill="1" applyBorder="1" applyAlignment="1">
      <alignment horizontal="center" vertical="center" wrapText="1"/>
    </xf>
    <xf numFmtId="49" fontId="40" fillId="12" borderId="34" xfId="0" applyNumberFormat="1" applyFont="1" applyFill="1" applyBorder="1" applyAlignment="1">
      <alignment horizontal="center" wrapText="1"/>
    </xf>
    <xf numFmtId="49" fontId="53" fillId="3" borderId="34" xfId="0" applyNumberFormat="1" applyFont="1" applyFill="1" applyBorder="1" applyAlignment="1">
      <alignment horizontal="center" wrapText="1"/>
    </xf>
    <xf numFmtId="49" fontId="8" fillId="12" borderId="34" xfId="0" applyNumberFormat="1" applyFont="1" applyFill="1" applyBorder="1" applyAlignment="1">
      <alignment horizontal="center" wrapText="1"/>
    </xf>
    <xf numFmtId="0" fontId="27" fillId="0" borderId="25" xfId="0" applyFont="1" applyBorder="1" applyAlignment="1">
      <alignment horizontal="center" vertical="center"/>
    </xf>
    <xf numFmtId="0" fontId="4" fillId="0" borderId="29" xfId="0" applyFont="1" applyBorder="1"/>
    <xf numFmtId="0" fontId="4" fillId="0" borderId="52" xfId="0" applyFont="1" applyBorder="1"/>
    <xf numFmtId="0" fontId="28" fillId="0" borderId="25" xfId="0" applyFont="1" applyBorder="1" applyAlignment="1">
      <alignment horizontal="center" vertical="center" textRotation="90" wrapText="1"/>
    </xf>
    <xf numFmtId="0" fontId="28" fillId="0" borderId="25" xfId="0" applyFont="1" applyBorder="1" applyAlignment="1">
      <alignment horizontal="center" vertical="center" wrapText="1"/>
    </xf>
    <xf numFmtId="0" fontId="29" fillId="12" borderId="26" xfId="0" applyFont="1" applyFill="1" applyBorder="1" applyAlignment="1">
      <alignment horizontal="center" vertical="center"/>
    </xf>
    <xf numFmtId="0" fontId="26" fillId="13" borderId="26" xfId="0" applyFont="1" applyFill="1" applyBorder="1" applyAlignment="1">
      <alignment horizontal="center" vertical="center"/>
    </xf>
    <xf numFmtId="49" fontId="40" fillId="13" borderId="34" xfId="0" applyNumberFormat="1" applyFont="1" applyFill="1" applyBorder="1" applyAlignment="1">
      <alignment horizontal="center" wrapText="1"/>
    </xf>
    <xf numFmtId="49" fontId="58" fillId="12" borderId="34" xfId="0" applyNumberFormat="1" applyFont="1" applyFill="1" applyBorder="1" applyAlignment="1">
      <alignment horizontal="center" wrapText="1"/>
    </xf>
    <xf numFmtId="49" fontId="47" fillId="12" borderId="34" xfId="0" applyNumberFormat="1" applyFont="1" applyFill="1" applyBorder="1" applyAlignment="1">
      <alignment horizontal="center" wrapText="1"/>
    </xf>
    <xf numFmtId="0" fontId="102" fillId="10" borderId="10" xfId="0" applyFont="1" applyFill="1" applyBorder="1" applyAlignment="1">
      <alignment horizontal="center" vertical="center"/>
    </xf>
    <xf numFmtId="0" fontId="103" fillId="0" borderId="15" xfId="0" applyFont="1" applyBorder="1" applyAlignment="1">
      <alignment horizontal="center" vertical="center" wrapText="1"/>
    </xf>
    <xf numFmtId="0" fontId="104" fillId="27" borderId="15" xfId="0" applyFont="1" applyFill="1" applyBorder="1" applyAlignment="1">
      <alignment horizontal="left" vertical="center"/>
    </xf>
    <xf numFmtId="0" fontId="4" fillId="0" borderId="79" xfId="0" applyFont="1" applyBorder="1"/>
    <xf numFmtId="0" fontId="105" fillId="24" borderId="15" xfId="0" applyFont="1" applyFill="1" applyBorder="1" applyAlignment="1">
      <alignment horizontal="center" vertical="top" wrapText="1"/>
    </xf>
    <xf numFmtId="164" fontId="104" fillId="27" borderId="15" xfId="0" applyNumberFormat="1" applyFont="1" applyFill="1" applyBorder="1" applyAlignment="1">
      <alignment horizontal="left" vertical="center"/>
    </xf>
    <xf numFmtId="0" fontId="110" fillId="10" borderId="36" xfId="0" applyFont="1" applyFill="1" applyBorder="1" applyAlignment="1">
      <alignment horizontal="center" vertical="center"/>
    </xf>
    <xf numFmtId="0" fontId="4" fillId="0" borderId="77" xfId="0" applyFont="1" applyBorder="1"/>
    <xf numFmtId="0" fontId="107" fillId="27" borderId="15" xfId="0" applyFont="1" applyFill="1" applyBorder="1" applyAlignment="1">
      <alignment horizontal="left" vertical="center"/>
    </xf>
    <xf numFmtId="0" fontId="104" fillId="27" borderId="82" xfId="0" applyFont="1" applyFill="1" applyBorder="1" applyAlignment="1">
      <alignment horizontal="left" vertical="center"/>
    </xf>
    <xf numFmtId="0" fontId="4" fillId="0" borderId="83" xfId="0" applyFont="1" applyBorder="1"/>
    <xf numFmtId="0" fontId="4" fillId="0" borderId="84" xfId="0" applyFont="1" applyBorder="1"/>
    <xf numFmtId="0" fontId="109" fillId="10" borderId="10" xfId="0" applyFont="1" applyFill="1" applyBorder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116" fillId="10" borderId="10" xfId="0" applyFont="1" applyFill="1" applyBorder="1" applyAlignment="1">
      <alignment horizontal="center" vertical="center"/>
    </xf>
    <xf numFmtId="0" fontId="112" fillId="29" borderId="36" xfId="0" applyFont="1" applyFill="1" applyBorder="1" applyAlignment="1">
      <alignment horizontal="center" vertical="center"/>
    </xf>
    <xf numFmtId="0" fontId="4" fillId="0" borderId="85" xfId="0" applyFont="1" applyBorder="1"/>
    <xf numFmtId="10" fontId="114" fillId="29" borderId="36" xfId="0" applyNumberFormat="1" applyFont="1" applyFill="1" applyBorder="1" applyAlignment="1">
      <alignment horizontal="center" vertical="center"/>
    </xf>
    <xf numFmtId="0" fontId="157" fillId="30" borderId="10" xfId="0" applyFont="1" applyFill="1" applyBorder="1" applyAlignment="1">
      <alignment horizontal="center" vertical="center"/>
    </xf>
    <xf numFmtId="0" fontId="159" fillId="0" borderId="0" xfId="0" applyFont="1"/>
    <xf numFmtId="0" fontId="156" fillId="0" borderId="0" xfId="0" applyFont="1" applyAlignment="1">
      <alignment wrapText="1"/>
    </xf>
    <xf numFmtId="0" fontId="4" fillId="0" borderId="97" xfId="0" applyFont="1" applyBorder="1"/>
    <xf numFmtId="0" fontId="161" fillId="0" borderId="98" xfId="0" applyFont="1" applyBorder="1" applyAlignment="1">
      <alignment horizontal="left" wrapText="1"/>
    </xf>
    <xf numFmtId="0" fontId="158" fillId="0" borderId="98" xfId="0" applyFont="1" applyBorder="1" applyAlignment="1">
      <alignment horizontal="left" wrapText="1"/>
    </xf>
    <xf numFmtId="164" fontId="158" fillId="0" borderId="98" xfId="0" applyNumberFormat="1" applyFont="1" applyBorder="1" applyAlignment="1">
      <alignment horizontal="left" wrapText="1"/>
    </xf>
    <xf numFmtId="0" fontId="164" fillId="0" borderId="15" xfId="0" applyFont="1" applyBorder="1" applyAlignment="1">
      <alignment horizontal="center" vertical="center"/>
    </xf>
    <xf numFmtId="0" fontId="51" fillId="0" borderId="29" xfId="0" applyFont="1" applyBorder="1" applyAlignment="1">
      <alignment horizontal="center" vertical="center" textRotation="90"/>
    </xf>
    <xf numFmtId="0" fontId="4" fillId="0" borderId="63" xfId="0" applyFont="1" applyBorder="1"/>
    <xf numFmtId="172" fontId="158" fillId="0" borderId="0" xfId="0" applyNumberFormat="1" applyFont="1" applyAlignment="1">
      <alignment horizontal="left" wrapText="1"/>
    </xf>
    <xf numFmtId="0" fontId="163" fillId="0" borderId="15" xfId="0" applyFont="1" applyBorder="1" applyAlignment="1">
      <alignment horizontal="center" wrapText="1"/>
    </xf>
    <xf numFmtId="0" fontId="100" fillId="0" borderId="0" xfId="0" applyFont="1" applyAlignment="1">
      <alignment horizontal="center" vertical="center" wrapText="1"/>
    </xf>
    <xf numFmtId="0" fontId="100" fillId="18" borderId="15" xfId="0" applyFont="1" applyFill="1" applyBorder="1" applyAlignment="1">
      <alignment horizontal="center" vertical="center" wrapText="1"/>
    </xf>
    <xf numFmtId="0" fontId="140" fillId="31" borderId="10" xfId="0" applyFont="1" applyFill="1" applyBorder="1" applyAlignment="1">
      <alignment horizontal="center" vertical="center" wrapText="1"/>
    </xf>
    <xf numFmtId="0" fontId="102" fillId="3" borderId="15" xfId="0" applyFont="1" applyFill="1" applyBorder="1" applyAlignment="1">
      <alignment horizontal="center" vertical="center" wrapText="1"/>
    </xf>
    <xf numFmtId="0" fontId="102" fillId="33" borderId="15" xfId="0" applyFont="1" applyFill="1" applyBorder="1" applyAlignment="1">
      <alignment horizontal="center" vertical="center" wrapText="1"/>
    </xf>
    <xf numFmtId="0" fontId="207" fillId="0" borderId="15" xfId="0" applyFont="1" applyBorder="1" applyAlignment="1">
      <alignment horizontal="left" vertical="center" wrapText="1"/>
    </xf>
    <xf numFmtId="0" fontId="166" fillId="0" borderId="15" xfId="0" applyFont="1" applyBorder="1" applyAlignment="1">
      <alignment vertical="center" wrapText="1"/>
    </xf>
    <xf numFmtId="0" fontId="166" fillId="35" borderId="15" xfId="0" applyFont="1" applyFill="1" applyBorder="1" applyAlignment="1">
      <alignment horizontal="center" vertical="center"/>
    </xf>
    <xf numFmtId="0" fontId="209" fillId="0" borderId="15" xfId="0" applyFont="1" applyBorder="1" applyAlignment="1">
      <alignment vertical="center" wrapText="1"/>
    </xf>
    <xf numFmtId="0" fontId="209" fillId="3" borderId="15" xfId="0" applyFont="1" applyFill="1" applyBorder="1" applyAlignment="1">
      <alignment vertical="center" wrapText="1"/>
    </xf>
    <xf numFmtId="0" fontId="209" fillId="35" borderId="15" xfId="0" applyFont="1" applyFill="1" applyBorder="1" applyAlignment="1">
      <alignment horizontal="right" vertical="center"/>
    </xf>
    <xf numFmtId="0" fontId="121" fillId="0" borderId="15" xfId="0" applyFont="1" applyBorder="1" applyAlignment="1">
      <alignment horizontal="left" vertical="center"/>
    </xf>
    <xf numFmtId="0" fontId="101" fillId="0" borderId="15" xfId="0" applyFont="1" applyBorder="1" applyAlignment="1">
      <alignment horizontal="left" vertical="center" wrapText="1"/>
    </xf>
    <xf numFmtId="0" fontId="166" fillId="0" borderId="15" xfId="0" applyFont="1" applyBorder="1" applyAlignment="1">
      <alignment horizontal="left" vertical="center"/>
    </xf>
    <xf numFmtId="0" fontId="102" fillId="36" borderId="15" xfId="0" applyFont="1" applyFill="1" applyBorder="1" applyAlignment="1">
      <alignment horizontal="left" vertical="center"/>
    </xf>
    <xf numFmtId="0" fontId="125" fillId="0" borderId="15" xfId="0" applyFont="1" applyBorder="1" applyAlignment="1">
      <alignment horizontal="left" vertical="center" wrapText="1"/>
    </xf>
    <xf numFmtId="174" fontId="151" fillId="0" borderId="15" xfId="0" applyNumberFormat="1" applyFont="1" applyBorder="1" applyAlignment="1">
      <alignment horizontal="center" vertical="center" wrapText="1"/>
    </xf>
    <xf numFmtId="0" fontId="125" fillId="36" borderId="82" xfId="0" applyFont="1" applyFill="1" applyBorder="1" applyAlignment="1">
      <alignment horizontal="center" vertical="center"/>
    </xf>
    <xf numFmtId="0" fontId="4" fillId="0" borderId="122" xfId="0" applyFont="1" applyBorder="1"/>
    <xf numFmtId="1" fontId="151" fillId="0" borderId="15" xfId="0" applyNumberFormat="1" applyFont="1" applyBorder="1" applyAlignment="1">
      <alignment horizontal="center" vertical="center" wrapText="1"/>
    </xf>
    <xf numFmtId="0" fontId="125" fillId="36" borderId="15" xfId="0" applyFont="1" applyFill="1" applyBorder="1" applyAlignment="1">
      <alignment horizontal="left" vertical="center" wrapText="1"/>
    </xf>
    <xf numFmtId="174" fontId="151" fillId="0" borderId="15" xfId="0" applyNumberFormat="1" applyFont="1" applyBorder="1" applyAlignment="1">
      <alignment horizontal="center" vertical="center"/>
    </xf>
    <xf numFmtId="0" fontId="102" fillId="36" borderId="15" xfId="0" applyFont="1" applyFill="1" applyBorder="1" applyAlignment="1">
      <alignment horizontal="left" vertical="center" wrapText="1"/>
    </xf>
    <xf numFmtId="0" fontId="121" fillId="0" borderId="15" xfId="0" applyFont="1" applyBorder="1" applyAlignment="1">
      <alignment vertical="center" wrapText="1"/>
    </xf>
    <xf numFmtId="0" fontId="166" fillId="35" borderId="15" xfId="0" applyFont="1" applyFill="1" applyBorder="1" applyAlignment="1">
      <alignment horizontal="left" vertical="center" wrapText="1"/>
    </xf>
    <xf numFmtId="4" fontId="158" fillId="0" borderId="16" xfId="0" applyNumberFormat="1" applyFont="1" applyBorder="1" applyAlignment="1">
      <alignment vertical="center" wrapText="1"/>
    </xf>
    <xf numFmtId="0" fontId="166" fillId="0" borderId="70" xfId="0" applyFont="1" applyBorder="1" applyAlignment="1">
      <alignment vertical="center" wrapText="1"/>
    </xf>
    <xf numFmtId="0" fontId="4" fillId="0" borderId="70" xfId="0" applyFont="1" applyBorder="1"/>
    <xf numFmtId="0" fontId="166" fillId="0" borderId="0" xfId="0" applyFont="1" applyAlignment="1">
      <alignment vertical="center" wrapText="1"/>
    </xf>
    <xf numFmtId="0" fontId="102" fillId="0" borderId="15" xfId="0" applyFont="1" applyBorder="1" applyAlignment="1">
      <alignment horizontal="left" vertical="center" wrapText="1"/>
    </xf>
    <xf numFmtId="0" fontId="125" fillId="35" borderId="15" xfId="0" applyFont="1" applyFill="1" applyBorder="1" applyAlignment="1">
      <alignment horizontal="left" vertical="center" wrapText="1"/>
    </xf>
    <xf numFmtId="0" fontId="141" fillId="0" borderId="15" xfId="0" applyFont="1" applyBorder="1" applyAlignment="1">
      <alignment horizontal="left" vertical="center"/>
    </xf>
    <xf numFmtId="0" fontId="158" fillId="35" borderId="15" xfId="0" applyFont="1" applyFill="1" applyBorder="1" applyAlignment="1">
      <alignment horizontal="left" vertical="center"/>
    </xf>
    <xf numFmtId="0" fontId="207" fillId="0" borderId="15" xfId="0" applyFont="1" applyBorder="1" applyAlignment="1">
      <alignment horizontal="center" vertical="center"/>
    </xf>
    <xf numFmtId="10" fontId="188" fillId="0" borderId="15" xfId="0" applyNumberFormat="1" applyFont="1" applyBorder="1" applyAlignment="1">
      <alignment horizontal="left" vertical="center" wrapText="1"/>
    </xf>
    <xf numFmtId="0" fontId="207" fillId="35" borderId="15" xfId="0" applyFont="1" applyFill="1" applyBorder="1" applyAlignment="1">
      <alignment horizontal="right" vertical="center"/>
    </xf>
    <xf numFmtId="0" fontId="158" fillId="35" borderId="15" xfId="0" applyFont="1" applyFill="1" applyBorder="1" applyAlignment="1">
      <alignment horizontal="left" vertical="center" wrapText="1"/>
    </xf>
    <xf numFmtId="0" fontId="102" fillId="35" borderId="15" xfId="0" applyFont="1" applyFill="1" applyBorder="1" applyAlignment="1">
      <alignment horizontal="right" vertical="center"/>
    </xf>
    <xf numFmtId="0" fontId="207" fillId="35" borderId="15" xfId="0" applyFont="1" applyFill="1" applyBorder="1" applyAlignment="1">
      <alignment horizontal="center" vertical="center"/>
    </xf>
    <xf numFmtId="0" fontId="208" fillId="0" borderId="15" xfId="0" applyFont="1" applyBorder="1" applyAlignment="1">
      <alignment horizontal="left" vertical="center"/>
    </xf>
    <xf numFmtId="0" fontId="183" fillId="0" borderId="15" xfId="0" applyFont="1" applyBorder="1" applyAlignment="1">
      <alignment horizontal="left" vertical="center" wrapText="1"/>
    </xf>
    <xf numFmtId="0" fontId="102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 wrapText="1"/>
    </xf>
    <xf numFmtId="0" fontId="223" fillId="9" borderId="98" xfId="0" applyFont="1" applyFill="1" applyBorder="1" applyAlignment="1">
      <alignment vertical="center"/>
    </xf>
    <xf numFmtId="0" fontId="4" fillId="0" borderId="132" xfId="0" applyFont="1" applyBorder="1"/>
    <xf numFmtId="0" fontId="223" fillId="9" borderId="136" xfId="0" applyFont="1" applyFill="1" applyBorder="1" applyAlignment="1">
      <alignment vertical="center"/>
    </xf>
    <xf numFmtId="0" fontId="4" fillId="0" borderId="137" xfId="0" applyFont="1" applyBorder="1"/>
    <xf numFmtId="0" fontId="4" fillId="0" borderId="138" xfId="0" applyFont="1" applyBorder="1"/>
    <xf numFmtId="0" fontId="223" fillId="9" borderId="140" xfId="0" applyFont="1" applyFill="1" applyBorder="1" applyAlignment="1">
      <alignment vertical="center"/>
    </xf>
    <xf numFmtId="0" fontId="4" fillId="0" borderId="141" xfId="0" applyFont="1" applyBorder="1"/>
    <xf numFmtId="0" fontId="4" fillId="0" borderId="142" xfId="0" applyFont="1" applyBorder="1"/>
    <xf numFmtId="0" fontId="102" fillId="0" borderId="16" xfId="0" applyFont="1" applyBorder="1" applyAlignment="1">
      <alignment horizontal="left" vertical="center" wrapText="1"/>
    </xf>
    <xf numFmtId="49" fontId="102" fillId="35" borderId="15" xfId="0" applyNumberFormat="1" applyFont="1" applyFill="1" applyBorder="1" applyAlignment="1">
      <alignment horizontal="right" vertical="center" wrapText="1"/>
    </xf>
    <xf numFmtId="49" fontId="102" fillId="10" borderId="15" xfId="0" applyNumberFormat="1" applyFont="1" applyFill="1" applyBorder="1" applyAlignment="1">
      <alignment horizontal="right" vertical="center" wrapText="1"/>
    </xf>
    <xf numFmtId="0" fontId="158" fillId="0" borderId="15" xfId="0" applyFont="1" applyBorder="1" applyAlignment="1">
      <alignment horizontal="left" vertical="center"/>
    </xf>
    <xf numFmtId="0" fontId="166" fillId="35" borderId="15" xfId="0" applyFont="1" applyFill="1" applyBorder="1" applyAlignment="1">
      <alignment horizontal="center" vertical="center" wrapText="1"/>
    </xf>
    <xf numFmtId="0" fontId="127" fillId="3" borderId="109" xfId="0" applyFont="1" applyFill="1" applyBorder="1" applyAlignment="1">
      <alignment vertical="center"/>
    </xf>
    <xf numFmtId="0" fontId="4" fillId="0" borderId="125" xfId="0" applyFont="1" applyBorder="1"/>
    <xf numFmtId="0" fontId="166" fillId="0" borderId="15" xfId="0" applyFont="1" applyBorder="1" applyAlignment="1">
      <alignment horizontal="left" vertical="center" wrapText="1"/>
    </xf>
    <xf numFmtId="0" fontId="102" fillId="35" borderId="105" xfId="0" applyFont="1" applyFill="1" applyBorder="1" applyAlignment="1">
      <alignment horizontal="center" vertical="center" wrapText="1"/>
    </xf>
    <xf numFmtId="0" fontId="4" fillId="0" borderId="106" xfId="0" applyFont="1" applyBorder="1"/>
    <xf numFmtId="0" fontId="102" fillId="29" borderId="15" xfId="0" applyFont="1" applyFill="1" applyBorder="1" applyAlignment="1">
      <alignment horizontal="left" vertical="center" wrapText="1"/>
    </xf>
    <xf numFmtId="4" fontId="220" fillId="0" borderId="15" xfId="0" applyNumberFormat="1" applyFont="1" applyBorder="1" applyAlignment="1">
      <alignment horizontal="center" vertical="center" wrapText="1"/>
    </xf>
    <xf numFmtId="0" fontId="179" fillId="18" borderId="15" xfId="0" applyFont="1" applyFill="1" applyBorder="1" applyAlignment="1">
      <alignment horizontal="left" vertical="center" wrapText="1"/>
    </xf>
    <xf numFmtId="0" fontId="179" fillId="18" borderId="15" xfId="0" applyFont="1" applyFill="1" applyBorder="1" applyAlignment="1">
      <alignment horizontal="center" vertical="center" wrapText="1"/>
    </xf>
    <xf numFmtId="1" fontId="179" fillId="18" borderId="15" xfId="0" applyNumberFormat="1" applyFont="1" applyFill="1" applyBorder="1" applyAlignment="1">
      <alignment horizontal="center" vertical="center" wrapText="1"/>
    </xf>
    <xf numFmtId="1" fontId="101" fillId="35" borderId="15" xfId="0" applyNumberFormat="1" applyFont="1" applyFill="1" applyBorder="1" applyAlignment="1">
      <alignment horizontal="center" vertical="center" wrapText="1"/>
    </xf>
    <xf numFmtId="0" fontId="101" fillId="35" borderId="15" xfId="0" applyFont="1" applyFill="1" applyBorder="1" applyAlignment="1">
      <alignment horizontal="right" vertical="center" wrapText="1"/>
    </xf>
    <xf numFmtId="0" fontId="102" fillId="36" borderId="15" xfId="0" applyFont="1" applyFill="1" applyBorder="1" applyAlignment="1">
      <alignment horizontal="center" vertical="center" wrapText="1"/>
    </xf>
    <xf numFmtId="0" fontId="175" fillId="0" borderId="15" xfId="0" applyFont="1" applyBorder="1" applyAlignment="1">
      <alignment horizontal="left" vertical="center" wrapText="1"/>
    </xf>
    <xf numFmtId="0" fontId="102" fillId="36" borderId="15" xfId="0" applyFont="1" applyFill="1" applyBorder="1" applyAlignment="1">
      <alignment horizontal="center" vertical="center"/>
    </xf>
    <xf numFmtId="0" fontId="180" fillId="0" borderId="15" xfId="0" applyFont="1" applyBorder="1" applyAlignment="1">
      <alignment horizontal="left" vertical="center" wrapText="1"/>
    </xf>
    <xf numFmtId="0" fontId="166" fillId="36" borderId="15" xfId="0" applyFont="1" applyFill="1" applyBorder="1" applyAlignment="1">
      <alignment horizontal="left" vertical="center" wrapText="1"/>
    </xf>
    <xf numFmtId="174" fontId="101" fillId="0" borderId="15" xfId="0" applyNumberFormat="1" applyFont="1" applyBorder="1" applyAlignment="1">
      <alignment horizontal="center" vertical="center" wrapText="1"/>
    </xf>
    <xf numFmtId="0" fontId="100" fillId="0" borderId="109" xfId="0" applyFont="1" applyBorder="1" applyAlignment="1">
      <alignment horizontal="left" vertical="center" wrapText="1"/>
    </xf>
    <xf numFmtId="0" fontId="4" fillId="0" borderId="110" xfId="0" applyFont="1" applyBorder="1"/>
    <xf numFmtId="174" fontId="181" fillId="3" borderId="15" xfId="0" applyNumberFormat="1" applyFont="1" applyFill="1" applyBorder="1" applyAlignment="1">
      <alignment horizontal="center" vertical="center" wrapText="1"/>
    </xf>
    <xf numFmtId="0" fontId="102" fillId="0" borderId="26" xfId="0" applyFont="1" applyBorder="1" applyAlignment="1">
      <alignment horizontal="left" vertical="center" wrapText="1"/>
    </xf>
    <xf numFmtId="174" fontId="142" fillId="0" borderId="15" xfId="0" applyNumberFormat="1" applyFont="1" applyBorder="1" applyAlignment="1">
      <alignment horizontal="right" vertical="center"/>
    </xf>
    <xf numFmtId="14" fontId="181" fillId="13" borderId="15" xfId="0" applyNumberFormat="1" applyFont="1" applyFill="1" applyBorder="1" applyAlignment="1">
      <alignment horizontal="center" vertical="center" wrapText="1"/>
    </xf>
    <xf numFmtId="0" fontId="102" fillId="0" borderId="105" xfId="0" applyFont="1" applyBorder="1" applyAlignment="1">
      <alignment horizontal="left" vertical="center" wrapText="1"/>
    </xf>
    <xf numFmtId="14" fontId="183" fillId="0" borderId="15" xfId="0" applyNumberFormat="1" applyFont="1" applyBorder="1" applyAlignment="1">
      <alignment horizontal="right" vertical="center" wrapText="1"/>
    </xf>
    <xf numFmtId="4" fontId="142" fillId="0" borderId="15" xfId="0" applyNumberFormat="1" applyFont="1" applyBorder="1" applyAlignment="1">
      <alignment horizontal="right" vertical="center" wrapText="1"/>
    </xf>
    <xf numFmtId="10" fontId="184" fillId="0" borderId="15" xfId="0" applyNumberFormat="1" applyFont="1" applyBorder="1" applyAlignment="1">
      <alignment horizontal="center" vertical="center" wrapText="1"/>
    </xf>
    <xf numFmtId="4" fontId="141" fillId="0" borderId="15" xfId="0" applyNumberFormat="1" applyFont="1" applyBorder="1" applyAlignment="1">
      <alignment horizontal="right" vertical="center" wrapText="1"/>
    </xf>
    <xf numFmtId="0" fontId="177" fillId="0" borderId="109" xfId="0" applyFont="1" applyBorder="1" applyAlignment="1">
      <alignment horizontal="center" vertical="center" wrapText="1"/>
    </xf>
    <xf numFmtId="0" fontId="134" fillId="9" borderId="105" xfId="0" applyFont="1" applyFill="1" applyBorder="1" applyAlignment="1">
      <alignment horizontal="center" vertical="center" wrapText="1"/>
    </xf>
    <xf numFmtId="0" fontId="101" fillId="0" borderId="105" xfId="0" applyFont="1" applyBorder="1" applyAlignment="1">
      <alignment horizontal="center" vertical="center" wrapText="1"/>
    </xf>
    <xf numFmtId="0" fontId="101" fillId="0" borderId="15" xfId="0" applyFont="1" applyBorder="1" applyAlignment="1">
      <alignment horizontal="center" vertical="center" wrapText="1"/>
    </xf>
    <xf numFmtId="164" fontId="102" fillId="0" borderId="15" xfId="0" applyNumberFormat="1" applyFont="1" applyBorder="1" applyAlignment="1">
      <alignment horizontal="left" vertical="center" wrapText="1"/>
    </xf>
    <xf numFmtId="14" fontId="101" fillId="0" borderId="15" xfId="0" applyNumberFormat="1" applyFont="1" applyBorder="1" applyAlignment="1">
      <alignment horizontal="center" vertical="center" wrapText="1"/>
    </xf>
    <xf numFmtId="0" fontId="178" fillId="0" borderId="15" xfId="0" applyFont="1" applyBorder="1" applyAlignment="1">
      <alignment horizontal="center" vertical="center" wrapText="1"/>
    </xf>
    <xf numFmtId="0" fontId="166" fillId="0" borderId="15" xfId="0" applyFont="1" applyBorder="1" applyAlignment="1">
      <alignment horizontal="center" vertical="center" wrapText="1"/>
    </xf>
    <xf numFmtId="0" fontId="102" fillId="35" borderId="15" xfId="0" applyFont="1" applyFill="1" applyBorder="1" applyAlignment="1">
      <alignment horizontal="center" vertical="center" wrapText="1"/>
    </xf>
    <xf numFmtId="4" fontId="185" fillId="0" borderId="15" xfId="0" applyNumberFormat="1" applyFont="1" applyBorder="1" applyAlignment="1">
      <alignment horizontal="right" vertical="center" wrapText="1"/>
    </xf>
    <xf numFmtId="4" fontId="145" fillId="0" borderId="15" xfId="0" applyNumberFormat="1" applyFont="1" applyBorder="1" applyAlignment="1">
      <alignment horizontal="right" vertical="center" wrapText="1"/>
    </xf>
    <xf numFmtId="4" fontId="142" fillId="0" borderId="109" xfId="0" applyNumberFormat="1" applyFont="1" applyBorder="1" applyAlignment="1">
      <alignment horizontal="right" vertical="center" wrapText="1"/>
    </xf>
    <xf numFmtId="0" fontId="101" fillId="0" borderId="109" xfId="0" applyFont="1" applyBorder="1" applyAlignment="1">
      <alignment horizontal="left" vertical="center" wrapText="1"/>
    </xf>
    <xf numFmtId="0" fontId="186" fillId="0" borderId="112" xfId="0" applyFont="1" applyBorder="1" applyAlignment="1">
      <alignment horizontal="left" vertical="center"/>
    </xf>
    <xf numFmtId="0" fontId="4" fillId="0" borderId="113" xfId="0" applyFont="1" applyBorder="1"/>
    <xf numFmtId="0" fontId="4" fillId="0" borderId="114" xfId="0" applyFont="1" applyBorder="1"/>
    <xf numFmtId="3" fontId="186" fillId="0" borderId="112" xfId="0" applyNumberFormat="1" applyFont="1" applyBorder="1" applyAlignment="1">
      <alignment horizontal="center" vertical="center" wrapText="1"/>
    </xf>
    <xf numFmtId="0" fontId="4" fillId="0" borderId="115" xfId="0" applyFont="1" applyBorder="1"/>
    <xf numFmtId="0" fontId="101" fillId="0" borderId="105" xfId="0" applyFont="1" applyBorder="1" applyAlignment="1">
      <alignment horizontal="left" vertical="center"/>
    </xf>
    <xf numFmtId="4" fontId="101" fillId="0" borderId="105" xfId="0" applyNumberFormat="1" applyFont="1" applyBorder="1" applyAlignment="1">
      <alignment horizontal="right" vertical="center" wrapText="1"/>
    </xf>
    <xf numFmtId="0" fontId="187" fillId="0" borderId="15" xfId="0" applyFont="1" applyBorder="1" applyAlignment="1">
      <alignment horizontal="left" vertical="center" wrapText="1"/>
    </xf>
    <xf numFmtId="10" fontId="184" fillId="0" borderId="16" xfId="0" applyNumberFormat="1" applyFont="1" applyBorder="1" applyAlignment="1">
      <alignment horizontal="left" vertical="center" wrapText="1"/>
    </xf>
    <xf numFmtId="10" fontId="125" fillId="0" borderId="16" xfId="0" applyNumberFormat="1" applyFont="1" applyBorder="1" applyAlignment="1">
      <alignment horizontal="left" vertical="center" wrapText="1"/>
    </xf>
    <xf numFmtId="0" fontId="100" fillId="0" borderId="15" xfId="0" applyFont="1" applyBorder="1" applyAlignment="1">
      <alignment horizontal="left" vertical="center" wrapText="1"/>
    </xf>
    <xf numFmtId="0" fontId="102" fillId="36" borderId="15" xfId="0" applyFont="1" applyFill="1" applyBorder="1" applyAlignment="1">
      <alignment horizontal="right" vertical="center" wrapText="1"/>
    </xf>
    <xf numFmtId="0" fontId="140" fillId="0" borderId="15" xfId="0" applyFont="1" applyBorder="1" applyAlignment="1">
      <alignment horizontal="left" vertical="center" wrapText="1"/>
    </xf>
    <xf numFmtId="0" fontId="158" fillId="0" borderId="15" xfId="0" applyFont="1" applyBorder="1" applyAlignment="1">
      <alignment horizontal="center" vertical="center"/>
    </xf>
    <xf numFmtId="0" fontId="100" fillId="35" borderId="15" xfId="0" applyFont="1" applyFill="1" applyBorder="1" applyAlignment="1">
      <alignment horizontal="right" vertical="center"/>
    </xf>
    <xf numFmtId="0" fontId="141" fillId="36" borderId="15" xfId="0" applyFont="1" applyFill="1" applyBorder="1" applyAlignment="1">
      <alignment horizontal="right" vertical="center"/>
    </xf>
    <xf numFmtId="0" fontId="187" fillId="36" borderId="15" xfId="0" applyFont="1" applyFill="1" applyBorder="1" applyAlignment="1">
      <alignment horizontal="left" vertical="center" wrapText="1"/>
    </xf>
    <xf numFmtId="0" fontId="158" fillId="0" borderId="15" xfId="0" applyFont="1" applyBorder="1" applyAlignment="1">
      <alignment horizontal="left" vertical="center" wrapText="1"/>
    </xf>
    <xf numFmtId="0" fontId="158" fillId="35" borderId="15" xfId="0" applyFont="1" applyFill="1" applyBorder="1" applyAlignment="1">
      <alignment horizontal="center" vertical="center" wrapText="1"/>
    </xf>
    <xf numFmtId="0" fontId="189" fillId="0" borderId="15" xfId="0" applyFont="1" applyBorder="1" applyAlignment="1">
      <alignment horizontal="left" vertical="center" wrapText="1"/>
    </xf>
    <xf numFmtId="0" fontId="190" fillId="0" borderId="16" xfId="0" applyFont="1" applyBorder="1" applyAlignment="1">
      <alignment horizontal="left" vertical="center" wrapText="1"/>
    </xf>
    <xf numFmtId="0" fontId="127" fillId="3" borderId="15" xfId="0" applyFont="1" applyFill="1" applyBorder="1" applyAlignment="1">
      <alignment horizontal="left" vertical="center"/>
    </xf>
    <xf numFmtId="0" fontId="191" fillId="3" borderId="116" xfId="0" applyFont="1" applyFill="1" applyBorder="1" applyAlignment="1">
      <alignment wrapText="1"/>
    </xf>
    <xf numFmtId="0" fontId="100" fillId="35" borderId="15" xfId="0" applyFont="1" applyFill="1" applyBorder="1" applyAlignment="1">
      <alignment horizontal="right" vertical="center" wrapText="1"/>
    </xf>
    <xf numFmtId="0" fontId="141" fillId="0" borderId="15" xfId="0" applyFont="1" applyBorder="1" applyAlignment="1">
      <alignment horizontal="left" vertical="center" wrapText="1"/>
    </xf>
    <xf numFmtId="0" fontId="192" fillId="36" borderId="15" xfId="0" applyFont="1" applyFill="1" applyBorder="1" applyAlignment="1">
      <alignment horizontal="center" vertical="center" wrapText="1"/>
    </xf>
    <xf numFmtId="0" fontId="142" fillId="0" borderId="15" xfId="0" applyFont="1" applyBorder="1" applyAlignment="1">
      <alignment horizontal="left" vertical="center" wrapText="1"/>
    </xf>
    <xf numFmtId="0" fontId="102" fillId="36" borderId="15" xfId="0" applyFont="1" applyFill="1" applyBorder="1" applyAlignment="1">
      <alignment horizontal="right" vertical="center"/>
    </xf>
    <xf numFmtId="0" fontId="121" fillId="0" borderId="15" xfId="0" applyFont="1" applyBorder="1" applyAlignment="1">
      <alignment horizontal="left" vertical="center" wrapText="1"/>
    </xf>
    <xf numFmtId="0" fontId="196" fillId="36" borderId="15" xfId="0" applyFont="1" applyFill="1" applyBorder="1" applyAlignment="1">
      <alignment horizontal="left" vertical="center" wrapText="1"/>
    </xf>
    <xf numFmtId="0" fontId="102" fillId="28" borderId="15" xfId="0" applyFont="1" applyFill="1" applyBorder="1" applyAlignment="1">
      <alignment horizontal="left" vertical="center" wrapText="1"/>
    </xf>
    <xf numFmtId="0" fontId="158" fillId="35" borderId="15" xfId="0" applyFont="1" applyFill="1" applyBorder="1" applyAlignment="1">
      <alignment horizontal="center" vertical="center"/>
    </xf>
    <xf numFmtId="0" fontId="100" fillId="0" borderId="15" xfId="0" applyFont="1" applyBorder="1" applyAlignment="1">
      <alignment horizontal="left" vertical="center"/>
    </xf>
    <xf numFmtId="0" fontId="100" fillId="36" borderId="15" xfId="0" applyFont="1" applyFill="1" applyBorder="1" applyAlignment="1">
      <alignment horizontal="right" vertical="center"/>
    </xf>
    <xf numFmtId="0" fontId="125" fillId="36" borderId="15" xfId="0" applyFont="1" applyFill="1" applyBorder="1" applyAlignment="1">
      <alignment horizontal="center" vertical="center"/>
    </xf>
    <xf numFmtId="0" fontId="175" fillId="0" borderId="15" xfId="0" applyFont="1" applyBorder="1" applyAlignment="1">
      <alignment horizontal="left" vertical="center"/>
    </xf>
    <xf numFmtId="0" fontId="101" fillId="0" borderId="15" xfId="0" applyFont="1" applyBorder="1" applyAlignment="1">
      <alignment horizontal="right" vertical="center" wrapText="1"/>
    </xf>
    <xf numFmtId="0" fontId="101" fillId="0" borderId="98" xfId="0" applyFont="1" applyBorder="1" applyAlignment="1">
      <alignment horizontal="center" vertical="center"/>
    </xf>
    <xf numFmtId="0" fontId="4" fillId="0" borderId="98" xfId="0" applyFont="1" applyBorder="1"/>
    <xf numFmtId="0" fontId="4" fillId="0" borderId="105" xfId="0" applyFont="1" applyBorder="1"/>
    <xf numFmtId="0" fontId="189" fillId="0" borderId="0" xfId="0" applyFont="1" applyAlignment="1">
      <alignment horizontal="left" vertical="center"/>
    </xf>
    <xf numFmtId="0" fontId="189" fillId="0" borderId="0" xfId="0" applyFont="1" applyAlignment="1">
      <alignment horizontal="center" vertical="center"/>
    </xf>
    <xf numFmtId="0" fontId="189" fillId="0" borderId="70" xfId="0" applyFont="1" applyBorder="1" applyAlignment="1">
      <alignment horizontal="left" vertical="center"/>
    </xf>
    <xf numFmtId="0" fontId="197" fillId="36" borderId="15" xfId="0" applyFont="1" applyFill="1" applyBorder="1" applyAlignment="1">
      <alignment vertical="center"/>
    </xf>
    <xf numFmtId="49" fontId="121" fillId="35" borderId="15" xfId="0" applyNumberFormat="1" applyFont="1" applyFill="1" applyBorder="1" applyAlignment="1">
      <alignment horizontal="right" vertical="center" wrapText="1"/>
    </xf>
    <xf numFmtId="49" fontId="199" fillId="0" borderId="15" xfId="0" applyNumberFormat="1" applyFont="1" applyBorder="1" applyAlignment="1">
      <alignment horizontal="left" vertical="center" wrapText="1"/>
    </xf>
    <xf numFmtId="49" fontId="102" fillId="10" borderId="15" xfId="0" applyNumberFormat="1" applyFont="1" applyFill="1" applyBorder="1" applyAlignment="1">
      <alignment horizontal="left" vertical="center" wrapText="1"/>
    </xf>
    <xf numFmtId="0" fontId="166" fillId="0" borderId="98" xfId="0" applyFont="1" applyBorder="1" applyAlignment="1">
      <alignment horizontal="left" vertical="center" wrapText="1"/>
    </xf>
    <xf numFmtId="4" fontId="102" fillId="0" borderId="15" xfId="0" applyNumberFormat="1" applyFont="1" applyBorder="1" applyAlignment="1">
      <alignment horizontal="center" vertical="center" wrapText="1"/>
    </xf>
    <xf numFmtId="4" fontId="125" fillId="0" borderId="16" xfId="0" applyNumberFormat="1" applyFont="1" applyBorder="1" applyAlignment="1">
      <alignment horizontal="center" vertical="center" wrapText="1"/>
    </xf>
    <xf numFmtId="4" fontId="102" fillId="0" borderId="16" xfId="0" applyNumberFormat="1" applyFont="1" applyBorder="1" applyAlignment="1">
      <alignment horizontal="center" vertical="center" wrapText="1"/>
    </xf>
    <xf numFmtId="4" fontId="202" fillId="10" borderId="116" xfId="0" applyNumberFormat="1" applyFont="1" applyFill="1" applyBorder="1" applyAlignment="1">
      <alignment horizontal="center" vertical="center"/>
    </xf>
    <xf numFmtId="0" fontId="102" fillId="0" borderId="15" xfId="0" applyFont="1" applyBorder="1" applyAlignment="1">
      <alignment vertical="center" wrapText="1"/>
    </xf>
    <xf numFmtId="0" fontId="121" fillId="35" borderId="15" xfId="0" applyFont="1" applyFill="1" applyBorder="1" applyAlignment="1">
      <alignment horizontal="right" vertical="center"/>
    </xf>
    <xf numFmtId="0" fontId="102" fillId="36" borderId="120" xfId="0" applyFont="1" applyFill="1" applyBorder="1" applyAlignment="1">
      <alignment horizontal="right" vertical="center"/>
    </xf>
    <xf numFmtId="0" fontId="4" fillId="0" borderId="86" xfId="0" applyFont="1" applyBorder="1"/>
    <xf numFmtId="0" fontId="4" fillId="0" borderId="121" xfId="0" applyFont="1" applyBorder="1"/>
    <xf numFmtId="0" fontId="175" fillId="0" borderId="105" xfId="0" applyFont="1" applyBorder="1" applyAlignment="1">
      <alignment horizontal="left" vertical="center" wrapText="1"/>
    </xf>
    <xf numFmtId="0" fontId="102" fillId="10" borderId="150" xfId="0" applyFont="1" applyFill="1" applyBorder="1" applyAlignment="1">
      <alignment horizontal="right" vertical="center"/>
    </xf>
    <xf numFmtId="0" fontId="4" fillId="0" borderId="151" xfId="0" applyFont="1" applyBorder="1"/>
    <xf numFmtId="0" fontId="4" fillId="0" borderId="152" xfId="0" applyFont="1" applyBorder="1"/>
    <xf numFmtId="0" fontId="1" fillId="0" borderId="0" xfId="0" applyFont="1" applyAlignment="1">
      <alignment vertical="center" wrapText="1"/>
    </xf>
    <xf numFmtId="174" fontId="232" fillId="0" borderId="15" xfId="0" applyNumberFormat="1" applyFont="1" applyBorder="1" applyAlignment="1">
      <alignment horizontal="right" vertical="center"/>
    </xf>
    <xf numFmtId="4" fontId="184" fillId="0" borderId="15" xfId="0" applyNumberFormat="1" applyFont="1" applyBorder="1" applyAlignment="1">
      <alignment horizontal="center" vertical="center" wrapText="1"/>
    </xf>
    <xf numFmtId="0" fontId="181" fillId="0" borderId="15" xfId="0" applyFont="1" applyBorder="1" applyAlignment="1">
      <alignment horizontal="left" vertical="center" wrapText="1"/>
    </xf>
    <xf numFmtId="0" fontId="101" fillId="0" borderId="16" xfId="0" applyFont="1" applyBorder="1" applyAlignment="1">
      <alignment horizontal="left" vertical="center" wrapText="1"/>
    </xf>
    <xf numFmtId="4" fontId="142" fillId="0" borderId="16" xfId="0" applyNumberFormat="1" applyFont="1" applyBorder="1" applyAlignment="1">
      <alignment horizontal="right" vertical="center" wrapText="1"/>
    </xf>
    <xf numFmtId="0" fontId="101" fillId="0" borderId="105" xfId="0" applyFont="1" applyBorder="1" applyAlignment="1">
      <alignment horizontal="left" vertical="center" wrapText="1"/>
    </xf>
    <xf numFmtId="4" fontId="101" fillId="0" borderId="15" xfId="0" applyNumberFormat="1" applyFont="1" applyBorder="1" applyAlignment="1">
      <alignment horizontal="right" vertical="center" wrapText="1"/>
    </xf>
    <xf numFmtId="0" fontId="127" fillId="3" borderId="15" xfId="0" applyFont="1" applyFill="1" applyBorder="1"/>
    <xf numFmtId="0" fontId="209" fillId="35" borderId="15" xfId="0" applyFont="1" applyFill="1" applyBorder="1" applyAlignment="1">
      <alignment horizontal="right" wrapText="1"/>
    </xf>
    <xf numFmtId="49" fontId="234" fillId="0" borderId="15" xfId="0" applyNumberFormat="1" applyFont="1" applyBorder="1" applyAlignment="1">
      <alignment horizontal="left" vertical="center" wrapText="1"/>
    </xf>
    <xf numFmtId="49" fontId="102" fillId="36" borderId="15" xfId="0" applyNumberFormat="1" applyFont="1" applyFill="1" applyBorder="1" applyAlignment="1">
      <alignment horizontal="left" vertical="center" wrapText="1"/>
    </xf>
    <xf numFmtId="1" fontId="101" fillId="0" borderId="15" xfId="0" applyNumberFormat="1" applyFont="1" applyBorder="1" applyAlignment="1">
      <alignment horizontal="center" vertical="center" wrapText="1"/>
    </xf>
    <xf numFmtId="10" fontId="121" fillId="0" borderId="19" xfId="0" applyNumberFormat="1" applyFont="1" applyBorder="1" applyAlignment="1">
      <alignment horizontal="left" vertical="center" wrapText="1"/>
    </xf>
    <xf numFmtId="0" fontId="127" fillId="3" borderId="15" xfId="0" applyFont="1" applyFill="1" applyBorder="1" applyAlignment="1">
      <alignment horizontal="left" vertical="center" wrapText="1"/>
    </xf>
    <xf numFmtId="0" fontId="191" fillId="3" borderId="116" xfId="0" applyFont="1" applyFill="1" applyBorder="1" applyAlignment="1">
      <alignment horizontal="left" vertical="center" wrapText="1"/>
    </xf>
    <xf numFmtId="0" fontId="102" fillId="36" borderId="150" xfId="0" applyFont="1" applyFill="1" applyBorder="1" applyAlignment="1">
      <alignment horizontal="right" vertical="center"/>
    </xf>
    <xf numFmtId="0" fontId="102" fillId="36" borderId="15" xfId="0" applyFont="1" applyFill="1" applyBorder="1" applyAlignment="1">
      <alignment horizontal="left"/>
    </xf>
    <xf numFmtId="0" fontId="125" fillId="36" borderId="82" xfId="0" applyFont="1" applyFill="1" applyBorder="1" applyAlignment="1">
      <alignment horizontal="center"/>
    </xf>
    <xf numFmtId="0" fontId="180" fillId="0" borderId="15" xfId="0" applyFont="1" applyBorder="1" applyAlignment="1">
      <alignment horizontal="left" wrapText="1"/>
    </xf>
    <xf numFmtId="0" fontId="166" fillId="36" borderId="15" xfId="0" applyFont="1" applyFill="1" applyBorder="1" applyAlignment="1">
      <alignment horizontal="left" wrapText="1"/>
    </xf>
    <xf numFmtId="0" fontId="102" fillId="36" borderId="15" xfId="0" applyFont="1" applyFill="1" applyBorder="1" applyAlignment="1">
      <alignment horizontal="left" wrapText="1"/>
    </xf>
    <xf numFmtId="4" fontId="102" fillId="0" borderId="15" xfId="0" applyNumberFormat="1" applyFont="1" applyBorder="1" applyAlignment="1">
      <alignment horizontal="left" vertical="center" wrapText="1"/>
    </xf>
    <xf numFmtId="0" fontId="102" fillId="0" borderId="15" xfId="0" applyFont="1" applyBorder="1" applyAlignment="1">
      <alignment wrapText="1"/>
    </xf>
    <xf numFmtId="10" fontId="127" fillId="0" borderId="16" xfId="0" applyNumberFormat="1" applyFont="1" applyBorder="1" applyAlignment="1">
      <alignment horizontal="left" vertical="center" wrapText="1"/>
    </xf>
    <xf numFmtId="0" fontId="102" fillId="3" borderId="15" xfId="0" applyFont="1" applyFill="1" applyBorder="1" applyAlignment="1">
      <alignment horizontal="left" vertical="center" wrapText="1"/>
    </xf>
    <xf numFmtId="0" fontId="102" fillId="37" borderId="15" xfId="0" applyFont="1" applyFill="1" applyBorder="1" applyAlignment="1">
      <alignment horizontal="left" vertical="center" wrapText="1"/>
    </xf>
    <xf numFmtId="0" fontId="141" fillId="35" borderId="15" xfId="0" applyFont="1" applyFill="1" applyBorder="1" applyAlignment="1">
      <alignment horizontal="center" vertical="center" wrapText="1"/>
    </xf>
    <xf numFmtId="0" fontId="166" fillId="0" borderId="70" xfId="0" applyFont="1" applyBorder="1" applyAlignment="1">
      <alignment wrapText="1"/>
    </xf>
    <xf numFmtId="0" fontId="166" fillId="0" borderId="0" xfId="0" applyFont="1" applyAlignment="1">
      <alignment wrapText="1"/>
    </xf>
    <xf numFmtId="0" fontId="112" fillId="0" borderId="105" xfId="0" applyFont="1" applyBorder="1" applyAlignment="1">
      <alignment horizontal="center" vertical="center" wrapText="1"/>
    </xf>
    <xf numFmtId="0" fontId="240" fillId="17" borderId="0" xfId="0" applyFont="1" applyFill="1" applyAlignment="1">
      <alignment vertical="center"/>
    </xf>
    <xf numFmtId="0" fontId="256" fillId="0" borderId="105" xfId="0" applyFont="1" applyBorder="1" applyAlignment="1">
      <alignment horizontal="center" vertical="center"/>
    </xf>
    <xf numFmtId="0" fontId="276" fillId="41" borderId="15" xfId="0" applyFont="1" applyFill="1" applyBorder="1" applyAlignment="1">
      <alignment horizontal="center" wrapText="1"/>
    </xf>
    <xf numFmtId="0" fontId="276" fillId="41" borderId="178" xfId="0" applyFont="1" applyFill="1" applyBorder="1" applyAlignment="1">
      <alignment horizontal="center" wrapText="1"/>
    </xf>
    <xf numFmtId="0" fontId="4" fillId="0" borderId="179" xfId="0" applyFont="1" applyBorder="1"/>
    <xf numFmtId="0" fontId="4" fillId="0" borderId="180" xfId="0" applyFont="1" applyBorder="1"/>
    <xf numFmtId="0" fontId="166" fillId="32" borderId="178" xfId="0" applyFont="1" applyFill="1" applyBorder="1" applyAlignment="1">
      <alignment horizontal="center" vertical="center" wrapText="1"/>
    </xf>
    <xf numFmtId="0" fontId="125" fillId="24" borderId="109" xfId="0" applyFont="1" applyFill="1" applyBorder="1" applyAlignment="1">
      <alignment horizontal="center" wrapText="1"/>
    </xf>
    <xf numFmtId="0" fontId="280" fillId="10" borderId="10" xfId="0" applyFont="1" applyFill="1" applyBorder="1" applyAlignment="1">
      <alignment horizontal="center" wrapText="1"/>
    </xf>
    <xf numFmtId="0" fontId="64" fillId="23" borderId="15" xfId="0" applyFont="1" applyFill="1" applyBorder="1" applyAlignment="1">
      <alignment horizontal="center" wrapText="1"/>
    </xf>
    <xf numFmtId="0" fontId="15" fillId="23" borderId="182" xfId="0" applyFont="1" applyFill="1" applyBorder="1" applyAlignment="1">
      <alignment vertical="center"/>
    </xf>
    <xf numFmtId="0" fontId="4" fillId="0" borderId="183" xfId="0" applyFont="1" applyBorder="1"/>
    <xf numFmtId="0" fontId="4" fillId="0" borderId="184" xfId="0" applyFont="1" applyBorder="1"/>
    <xf numFmtId="0" fontId="220" fillId="35" borderId="15" xfId="0" applyFont="1" applyFill="1" applyBorder="1" applyAlignment="1">
      <alignment horizontal="right" vertical="center"/>
    </xf>
    <xf numFmtId="183" fontId="181" fillId="13" borderId="15" xfId="0" applyNumberFormat="1" applyFont="1" applyFill="1" applyBorder="1" applyAlignment="1">
      <alignment horizontal="center" vertical="center" wrapText="1"/>
    </xf>
    <xf numFmtId="4" fontId="142" fillId="0" borderId="15" xfId="0" applyNumberFormat="1" applyFont="1" applyBorder="1" applyAlignment="1">
      <alignment horizontal="right" vertical="center"/>
    </xf>
    <xf numFmtId="0" fontId="100" fillId="0" borderId="16" xfId="0" applyFont="1" applyBorder="1" applyAlignment="1">
      <alignment horizontal="left" vertical="center" wrapText="1"/>
    </xf>
    <xf numFmtId="0" fontId="220" fillId="35" borderId="15" xfId="0" applyFont="1" applyFill="1" applyBorder="1" applyAlignment="1">
      <alignment horizontal="right"/>
    </xf>
    <xf numFmtId="4" fontId="202" fillId="10" borderId="116" xfId="0" applyNumberFormat="1" applyFont="1" applyFill="1" applyBorder="1" applyAlignment="1">
      <alignment horizontal="center"/>
    </xf>
    <xf numFmtId="0" fontId="15" fillId="23" borderId="182" xfId="0" applyFont="1" applyFill="1" applyBorder="1"/>
    <xf numFmtId="0" fontId="102" fillId="0" borderId="0" xfId="0" applyFont="1" applyAlignment="1">
      <alignment horizontal="left" vertical="center" wrapText="1"/>
    </xf>
    <xf numFmtId="0" fontId="102" fillId="0" borderId="109" xfId="0" applyFont="1" applyBorder="1" applyAlignment="1">
      <alignment horizontal="left" vertical="center" wrapText="1"/>
    </xf>
    <xf numFmtId="10" fontId="99" fillId="0" borderId="15" xfId="0" applyNumberFormat="1" applyFont="1" applyBorder="1" applyAlignment="1">
      <alignment horizontal="left" vertical="center" wrapText="1"/>
    </xf>
    <xf numFmtId="0" fontId="100" fillId="3" borderId="15" xfId="0" applyFont="1" applyFill="1" applyBorder="1" applyAlignment="1">
      <alignment horizontal="left" vertical="center" wrapText="1"/>
    </xf>
    <xf numFmtId="0" fontId="166" fillId="35" borderId="109" xfId="0" applyFont="1" applyFill="1" applyBorder="1" applyAlignment="1">
      <alignment horizontal="center" vertical="center" wrapText="1"/>
    </xf>
    <xf numFmtId="0" fontId="102" fillId="10" borderId="109" xfId="0" applyFont="1" applyFill="1" applyBorder="1" applyAlignment="1">
      <alignment horizontal="center" vertical="center"/>
    </xf>
    <xf numFmtId="0" fontId="1" fillId="0" borderId="191" xfId="0" applyFont="1" applyBorder="1" applyAlignment="1">
      <alignment horizontal="left" vertical="center"/>
    </xf>
    <xf numFmtId="0" fontId="4" fillId="0" borderId="192" xfId="0" applyFont="1" applyBorder="1"/>
    <xf numFmtId="2" fontId="99" fillId="0" borderId="194" xfId="0" applyNumberFormat="1" applyFont="1" applyBorder="1" applyAlignment="1">
      <alignment horizontal="left" vertical="center" wrapText="1"/>
    </xf>
    <xf numFmtId="0" fontId="4" fillId="0" borderId="195" xfId="0" applyFont="1" applyBorder="1"/>
    <xf numFmtId="0" fontId="102" fillId="0" borderId="109" xfId="0" applyFont="1" applyBorder="1" applyAlignment="1">
      <alignment horizontal="center" vertical="center"/>
    </xf>
    <xf numFmtId="0" fontId="15" fillId="0" borderId="194" xfId="0" applyFont="1" applyBorder="1" applyAlignment="1">
      <alignment vertical="center" wrapText="1"/>
    </xf>
    <xf numFmtId="4" fontId="289" fillId="0" borderId="194" xfId="0" applyNumberFormat="1" applyFont="1" applyBorder="1" applyAlignment="1">
      <alignment horizontal="center" vertical="center"/>
    </xf>
    <xf numFmtId="0" fontId="4" fillId="0" borderId="96" xfId="0" applyFont="1" applyBorder="1"/>
    <xf numFmtId="0" fontId="4" fillId="0" borderId="208" xfId="0" applyFont="1" applyBorder="1"/>
    <xf numFmtId="0" fontId="99" fillId="0" borderId="19" xfId="0" applyFont="1" applyBorder="1" applyAlignment="1">
      <alignment horizontal="left" vertical="center" wrapText="1"/>
    </xf>
    <xf numFmtId="0" fontId="99" fillId="0" borderId="16" xfId="0" applyFont="1" applyBorder="1" applyAlignment="1">
      <alignment horizontal="left" vertical="center" wrapText="1"/>
    </xf>
    <xf numFmtId="0" fontId="102" fillId="10" borderId="98" xfId="0" applyFont="1" applyFill="1" applyBorder="1" applyAlignment="1">
      <alignment horizontal="center" vertical="center"/>
    </xf>
    <xf numFmtId="0" fontId="102" fillId="0" borderId="201" xfId="0" applyFont="1" applyBorder="1" applyAlignment="1">
      <alignment horizontal="left" vertical="center" wrapText="1"/>
    </xf>
    <xf numFmtId="0" fontId="4" fillId="0" borderId="206" xfId="0" applyFont="1" applyBorder="1"/>
    <xf numFmtId="0" fontId="4" fillId="0" borderId="207" xfId="0" applyFont="1" applyBorder="1"/>
    <xf numFmtId="0" fontId="15" fillId="0" borderId="202" xfId="0" applyFont="1" applyBorder="1" applyAlignment="1">
      <alignment vertical="center"/>
    </xf>
    <xf numFmtId="0" fontId="4" fillId="0" borderId="203" xfId="0" applyFont="1" applyBorder="1"/>
    <xf numFmtId="0" fontId="4" fillId="0" borderId="204" xfId="0" applyFont="1" applyBorder="1"/>
    <xf numFmtId="4" fontId="285" fillId="0" borderId="202" xfId="0" applyNumberFormat="1" applyFont="1" applyBorder="1" applyAlignment="1">
      <alignment horizontal="center" vertical="center"/>
    </xf>
    <xf numFmtId="0" fontId="4" fillId="0" borderId="205" xfId="0" applyFont="1" applyBorder="1"/>
    <xf numFmtId="0" fontId="15" fillId="0" borderId="191" xfId="0" applyFont="1" applyBorder="1" applyAlignment="1">
      <alignment wrapText="1"/>
    </xf>
    <xf numFmtId="0" fontId="4" fillId="0" borderId="92" xfId="0" applyFont="1" applyBorder="1"/>
    <xf numFmtId="4" fontId="181" fillId="35" borderId="15" xfId="0" applyNumberFormat="1" applyFont="1" applyFill="1" applyBorder="1" applyAlignment="1">
      <alignment horizontal="center" vertical="center"/>
    </xf>
    <xf numFmtId="174" fontId="181" fillId="13" borderId="15" xfId="0" applyNumberFormat="1" applyFont="1" applyFill="1" applyBorder="1" applyAlignment="1">
      <alignment horizontal="center" vertical="center" wrapText="1"/>
    </xf>
    <xf numFmtId="0" fontId="183" fillId="0" borderId="15" xfId="0" applyFont="1" applyBorder="1" applyAlignment="1">
      <alignment horizontal="right" vertical="center" wrapText="1"/>
    </xf>
    <xf numFmtId="0" fontId="101" fillId="0" borderId="15" xfId="0" applyFont="1" applyBorder="1" applyAlignment="1">
      <alignment horizontal="left" vertical="center"/>
    </xf>
    <xf numFmtId="3" fontId="101" fillId="0" borderId="15" xfId="0" applyNumberFormat="1" applyFont="1" applyBorder="1" applyAlignment="1">
      <alignment horizontal="center" wrapText="1"/>
    </xf>
  </cellXfs>
  <cellStyles count="1">
    <cellStyle name="Normal" xfId="0" builtinId="0"/>
  </cellStyles>
  <dxfs count="142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b/>
        <color rgb="FFC00000"/>
      </font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C00000"/>
      </font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B7E1CD"/>
          <bgColor rgb="FFB7E1CD"/>
        </patternFill>
      </fill>
    </dxf>
    <dxf>
      <font>
        <strike/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B7E1CD"/>
          <bgColor rgb="FFB7E1CD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3">
    <tableStyle name="Uniformes - EPIs_TODOS-style" pivot="0" count="3" xr9:uid="{00000000-0011-0000-FFFF-FFFF00000000}">
      <tableStyleElement type="headerRow" dxfId="141"/>
      <tableStyleElement type="firstRowStripe" dxfId="140"/>
      <tableStyleElement type="secondRowStripe" dxfId="139"/>
    </tableStyle>
    <tableStyle name="Uniformes - EPIs_TODOS-style 2" pivot="0" count="2" xr9:uid="{00000000-0011-0000-FFFF-FFFF01000000}">
      <tableStyleElement type="firstRowStripe" dxfId="138"/>
      <tableStyleElement type="secondRowStripe" dxfId="137"/>
    </tableStyle>
    <tableStyle name="Insumos_Base-style" pivot="0" count="2" xr9:uid="{00000000-0011-0000-FFFF-FFFF02000000}">
      <tableStyleElement type="firstRowStripe" dxfId="136"/>
      <tableStyleElement type="secondRowStripe" dxfId="1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2695575</xdr:colOff>
      <xdr:row>2</xdr:row>
      <xdr:rowOff>38100</xdr:rowOff>
    </xdr:from>
    <xdr:ext cx="628650" cy="733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-5400000">
          <a:off x="4988813" y="3475200"/>
          <a:ext cx="714375" cy="60960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76200</xdr:colOff>
      <xdr:row>0</xdr:row>
      <xdr:rowOff>19050</xdr:rowOff>
    </xdr:from>
    <xdr:ext cx="2543175" cy="11049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283963" y="3322800"/>
          <a:ext cx="2124075" cy="914400"/>
        </a:xfrm>
        <a:prstGeom prst="rect">
          <a:avLst/>
        </a:prstGeom>
        <a:solidFill>
          <a:srgbClr val="00FF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endParaRPr sz="1200" b="1">
            <a:solidFill>
              <a:srgbClr val="00B050"/>
            </a:solidFill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85725</xdr:colOff>
      <xdr:row>1</xdr:row>
      <xdr:rowOff>47625</xdr:rowOff>
    </xdr:from>
    <xdr:ext cx="3095625" cy="8286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L6:AE9">
  <tableColumns count="20">
    <tableColumn id="1" xr3:uid="{00000000-0010-0000-0000-000001000000}" name="Uniformes"/>
    <tableColumn id="2" xr3:uid="{00000000-0010-0000-0000-000002000000}" name="Unidade"/>
    <tableColumn id="3" xr3:uid="{00000000-0010-0000-0000-000003000000}" name="Qtd"/>
    <tableColumn id="4" xr3:uid="{00000000-0010-0000-0000-000004000000}" name="Periodicidade"/>
    <tableColumn id="5" xr3:uid="{00000000-0010-0000-0000-000005000000}" name="Entrega"/>
    <tableColumn id="6" xr3:uid="{00000000-0010-0000-0000-000006000000}" name="ALEGRETE__AL"/>
    <tableColumn id="7" xr3:uid="{00000000-0010-0000-0000-000007000000}" name="FREDERICO-WESTFALEN__FW"/>
    <tableColumn id="8" xr3:uid="{00000000-0010-0000-0000-000008000000}" name="JAGUARI__JAG"/>
    <tableColumn id="9" xr3:uid="{00000000-0010-0000-0000-000009000000}" name="JULIO-DE-CASTILHOS__JC "/>
    <tableColumn id="10" xr3:uid="{00000000-0010-0000-0000-00000A000000}" name="PANAMBI__PB"/>
    <tableColumn id="11" xr3:uid="{00000000-0010-0000-0000-00000B000000}" name="SANTA-MARIA__SM-RT"/>
    <tableColumn id="12" xr3:uid="{00000000-0010-0000-0000-00000C000000}" name="SANTA-ROSA__SR"/>
    <tableColumn id="13" xr3:uid="{00000000-0010-0000-0000-00000D000000}" name="SANTO-ANGELO__SAN"/>
    <tableColumn id="14" xr3:uid="{00000000-0010-0000-0000-00000E000000}" name="SANTO-AUGUSTO_SA"/>
    <tableColumn id="15" xr3:uid="{00000000-0010-0000-0000-00000F000000}" name="SAO-BORJA__SB"/>
    <tableColumn id="16" xr3:uid="{00000000-0010-0000-0000-000010000000}" name="SAO-VICENTE-DO-SUL__SVS"/>
    <tableColumn id="17" xr3:uid="{00000000-0010-0000-0000-000011000000}" name="URUGUAIANA__URUG"/>
    <tableColumn id="18" xr3:uid="{00000000-0010-0000-0000-000012000000}" name="SANTIAGO__STG"/>
    <tableColumn id="19" xr3:uid="{00000000-0010-0000-0000-000013000000}" name="SAO-LUIZ-GONZAGA__SLG"/>
    <tableColumn id="20" xr3:uid="{00000000-0010-0000-0000-000014000000}" name="CAÇAPAVA-DO-SUL__CS"/>
  </tableColumns>
  <tableStyleInfo name="Uniformes - EPIs_TODO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7:F8" headerRowCount="0">
  <tableColumns count="6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</tableColumns>
  <tableStyleInfo name="Uniformes - EPIs_TODOS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5:E5" headerRowCount="0">
  <tableColumns count="5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</tableColumns>
  <tableStyleInfo name="Insumos_Bas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1011"/>
  <sheetViews>
    <sheetView showGridLines="0" view="pageBreakPreview" zoomScale="60" zoomScaleNormal="100" workbookViewId="0">
      <selection activeCell="H15" sqref="H15"/>
    </sheetView>
  </sheetViews>
  <sheetFormatPr defaultColWidth="14.453125" defaultRowHeight="15" customHeight="1"/>
  <cols>
    <col min="1" max="1" width="2.453125" customWidth="1"/>
    <col min="2" max="2" width="13.54296875" customWidth="1"/>
    <col min="3" max="3" width="46.81640625" customWidth="1"/>
    <col min="4" max="4" width="2.26953125" customWidth="1"/>
    <col min="5" max="5" width="13.54296875" customWidth="1"/>
    <col min="6" max="6" width="3.81640625" customWidth="1"/>
    <col min="7" max="8" width="23" customWidth="1"/>
    <col min="9" max="9" width="2.453125" customWidth="1"/>
    <col min="10" max="10" width="13.54296875" customWidth="1"/>
    <col min="11" max="11" width="23.08984375" customWidth="1"/>
    <col min="12" max="12" width="3.453125" customWidth="1"/>
    <col min="13" max="13" width="21.7265625" customWidth="1"/>
    <col min="14" max="14" width="2.26953125" customWidth="1"/>
    <col min="15" max="15" width="13.54296875" customWidth="1"/>
    <col min="16" max="16" width="52.08984375" customWidth="1"/>
    <col min="17" max="17" width="2.453125" customWidth="1"/>
    <col min="18" max="18" width="14.08984375" customWidth="1"/>
    <col min="19" max="19" width="44.08984375" customWidth="1"/>
    <col min="20" max="20" width="4.54296875" customWidth="1"/>
    <col min="21" max="21" width="15.81640625" customWidth="1"/>
    <col min="22" max="22" width="19.54296875" customWidth="1"/>
    <col min="23" max="38" width="34" customWidth="1"/>
  </cols>
  <sheetData>
    <row r="1" spans="1:38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01.25" customHeight="1">
      <c r="A2" s="1"/>
      <c r="B2" s="3" t="b">
        <v>0</v>
      </c>
      <c r="C2" s="1420" t="s">
        <v>0</v>
      </c>
      <c r="D2" s="1421"/>
      <c r="E2" s="1421"/>
      <c r="F2" s="1421"/>
      <c r="G2" s="1421"/>
      <c r="H2" s="1422"/>
      <c r="I2" s="1"/>
      <c r="J2" s="3" t="b">
        <v>0</v>
      </c>
      <c r="K2" s="1420" t="s">
        <v>1</v>
      </c>
      <c r="L2" s="1421"/>
      <c r="M2" s="1421"/>
      <c r="N2" s="1421"/>
      <c r="O2" s="1421"/>
      <c r="P2" s="1422"/>
      <c r="Q2" s="1"/>
      <c r="R2" s="1"/>
      <c r="S2" s="1"/>
      <c r="T2" s="1"/>
      <c r="U2" s="1"/>
      <c r="V2" s="1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01.25" customHeight="1">
      <c r="A4" s="1"/>
      <c r="B4" s="3" t="b">
        <v>0</v>
      </c>
      <c r="C4" s="1420" t="s">
        <v>2</v>
      </c>
      <c r="D4" s="1421"/>
      <c r="E4" s="1421"/>
      <c r="F4" s="1421"/>
      <c r="G4" s="1421"/>
      <c r="H4" s="142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87" customHeight="1">
      <c r="A6" s="1"/>
      <c r="B6" s="4" t="b">
        <v>0</v>
      </c>
      <c r="C6" s="5" t="s">
        <v>3</v>
      </c>
      <c r="D6" s="6"/>
      <c r="E6" s="7" t="b">
        <v>0</v>
      </c>
      <c r="F6" s="8"/>
      <c r="G6" s="1423" t="s">
        <v>4</v>
      </c>
      <c r="H6" s="1424"/>
      <c r="I6" s="6"/>
      <c r="J6" s="7" t="b">
        <v>0</v>
      </c>
      <c r="K6" s="1423" t="s">
        <v>5</v>
      </c>
      <c r="L6" s="1425"/>
      <c r="M6" s="1424"/>
      <c r="N6" s="1"/>
      <c r="O6" s="7" t="b">
        <v>0</v>
      </c>
      <c r="P6" s="9" t="s">
        <v>6</v>
      </c>
      <c r="Q6" s="1"/>
      <c r="R6" s="1"/>
      <c r="S6" s="1"/>
      <c r="T6" s="1"/>
      <c r="U6" s="1"/>
      <c r="V6" s="1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3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87" customHeight="1">
      <c r="A8" s="1"/>
      <c r="B8" s="4" t="b">
        <v>0</v>
      </c>
      <c r="C8" s="5" t="s">
        <v>7</v>
      </c>
      <c r="D8" s="1"/>
      <c r="E8" s="7" t="b">
        <v>0</v>
      </c>
      <c r="F8" s="8"/>
      <c r="G8" s="1423" t="s">
        <v>8</v>
      </c>
      <c r="H8" s="1424"/>
      <c r="I8" s="6"/>
      <c r="J8" s="7" t="b">
        <v>0</v>
      </c>
      <c r="K8" s="1423" t="s">
        <v>9</v>
      </c>
      <c r="L8" s="1425"/>
      <c r="M8" s="1424"/>
      <c r="N8" s="6"/>
      <c r="O8" s="1"/>
      <c r="P8" s="1"/>
      <c r="Q8" s="1"/>
      <c r="R8" s="1"/>
      <c r="S8" s="1"/>
      <c r="T8" s="1"/>
      <c r="U8" s="1"/>
      <c r="V8" s="1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45.5" customHeight="1">
      <c r="A10" s="1"/>
      <c r="B10" s="11" t="b">
        <v>0</v>
      </c>
      <c r="C10" s="1415" t="s">
        <v>10</v>
      </c>
      <c r="D10" s="1416"/>
      <c r="E10" s="1417"/>
      <c r="F10" s="1"/>
      <c r="G10" s="11" t="b">
        <v>0</v>
      </c>
      <c r="H10" s="1415" t="s">
        <v>11</v>
      </c>
      <c r="I10" s="1416"/>
      <c r="J10" s="1416"/>
      <c r="K10" s="14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31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10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77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77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2.75" customHeight="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05" customHeight="1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418"/>
      <c r="R19" s="1419"/>
      <c r="S19" s="141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37.5" customHeight="1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37.5" customHeight="1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37.5" customHeight="1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37.5" customHeight="1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37.5" customHeight="1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37.5" customHeight="1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37.5" customHeight="1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37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37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37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37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37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37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37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37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37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ht="37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ht="37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ht="37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ht="37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ht="37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ht="37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ht="37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ht="37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ht="37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ht="37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ht="37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ht="37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ht="37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ht="37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ht="37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ht="37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ht="37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ht="37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ht="37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ht="37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ht="37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ht="37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ht="37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37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ht="37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37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ht="37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37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ht="37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37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ht="37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ht="37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ht="37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ht="37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ht="37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ht="37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ht="37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ht="37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ht="37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ht="37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ht="37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ht="37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ht="37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ht="37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ht="37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ht="37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ht="37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ht="37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ht="3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ht="37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ht="37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ht="37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ht="37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ht="37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ht="37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ht="37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ht="37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ht="37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ht="37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ht="37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ht="37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ht="37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ht="37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ht="37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ht="37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ht="37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ht="37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ht="37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ht="37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ht="37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ht="37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ht="37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ht="37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ht="37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ht="37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ht="37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ht="37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ht="37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ht="37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ht="37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ht="37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ht="37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ht="37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ht="37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ht="37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ht="37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ht="37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ht="37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ht="37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ht="37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ht="37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ht="37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ht="37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ht="37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ht="37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ht="37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ht="37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ht="37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ht="37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ht="37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ht="37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ht="37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ht="37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ht="37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ht="37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ht="37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ht="37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37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37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ht="37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ht="37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ht="37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ht="37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ht="37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ht="37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ht="37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ht="37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ht="37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ht="37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ht="37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ht="37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ht="37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ht="37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ht="37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ht="37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ht="37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ht="37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ht="37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ht="37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ht="37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ht="37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ht="37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ht="37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ht="37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ht="37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ht="37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ht="37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ht="37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ht="37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ht="37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ht="37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ht="37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ht="37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ht="37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ht="37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ht="37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ht="37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ht="37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ht="37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ht="37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ht="37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ht="37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ht="37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ht="37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ht="37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ht="37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ht="37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ht="37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ht="37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ht="37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ht="37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ht="37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ht="37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ht="37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ht="37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ht="37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ht="37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ht="37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ht="37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ht="37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ht="37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ht="37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ht="37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ht="37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ht="37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ht="37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ht="37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ht="37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ht="37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ht="37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ht="37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ht="37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ht="37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ht="37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ht="37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ht="37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ht="37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ht="37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ht="37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ht="37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ht="37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ht="37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ht="37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ht="37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ht="37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ht="37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ht="37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ht="37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ht="37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ht="37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ht="37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ht="37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ht="37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ht="37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ht="37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ht="37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ht="37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1:38" ht="37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spans="1:38" ht="37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spans="1:38" ht="37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spans="1:38" ht="37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spans="1:38" ht="37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</row>
    <row r="248" spans="1:38" ht="37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spans="1:38" ht="37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spans="1:38" ht="37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spans="1:38" ht="37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spans="1:38" ht="37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spans="1:38" ht="37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</row>
    <row r="254" spans="1:38" ht="37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spans="1:38" ht="37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spans="1:38" ht="37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spans="1:38" ht="37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spans="1:38" ht="37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spans="1:38" ht="37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</row>
    <row r="260" spans="1:38" ht="37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spans="1:38" ht="37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spans="1:38" ht="37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spans="1:38" ht="37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spans="1:38" ht="37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spans="1:38" ht="37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</row>
    <row r="266" spans="1:38" ht="37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spans="1:38" ht="37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spans="1:38" ht="37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spans="1:38" ht="37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spans="1:38" ht="37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spans="1:38" ht="37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</row>
    <row r="272" spans="1:38" ht="37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spans="1:38" ht="37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spans="1:38" ht="37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spans="1:38" ht="37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1:38" ht="37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1:38" ht="37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</row>
    <row r="278" spans="1:38" ht="37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spans="1:38" ht="37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spans="1:38" ht="37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spans="1:38" ht="37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spans="1:38" ht="37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spans="1:38" ht="37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</row>
    <row r="284" spans="1:38" ht="37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spans="1:38" ht="37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spans="1:38" ht="37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spans="1:38" ht="37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spans="1:38" ht="37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spans="1:38" ht="37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</row>
    <row r="290" spans="1:38" ht="37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spans="1:38" ht="37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spans="1:38" ht="37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spans="1:38" ht="37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spans="1:38" ht="37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spans="1:38" ht="37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</row>
    <row r="296" spans="1:38" ht="37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spans="1:38" ht="37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spans="1:38" ht="37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spans="1:38" ht="37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spans="1:38" ht="37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spans="1:38" ht="37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</row>
    <row r="302" spans="1:38" ht="37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spans="1:38" ht="37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spans="1:38" ht="37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spans="1:38" ht="37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spans="1:38" ht="37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spans="1:38" ht="37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</row>
    <row r="308" spans="1:38" ht="37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spans="1:38" ht="37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spans="1:38" ht="37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spans="1:38" ht="37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spans="1:38" ht="37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spans="1:38" ht="37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</row>
    <row r="314" spans="1:38" ht="37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spans="1:38" ht="37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spans="1:38" ht="37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spans="1:38" ht="37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spans="1:38" ht="37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spans="1:38" ht="37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</row>
    <row r="320" spans="1:38" ht="37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spans="1:38" ht="37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spans="1:38" ht="37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spans="1:38" ht="37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spans="1:38" ht="37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spans="1:38" ht="37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</row>
    <row r="326" spans="1:38" ht="37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spans="1:38" ht="37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spans="1:38" ht="37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spans="1:38" ht="37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spans="1:38" ht="37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spans="1:38" ht="37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</row>
    <row r="332" spans="1:38" ht="37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spans="1:38" ht="37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spans="1:38" ht="37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spans="1:38" ht="37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spans="1:38" ht="37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spans="1:38" ht="37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</row>
    <row r="338" spans="1:38" ht="37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spans="1:38" ht="37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spans="1:38" ht="37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spans="1:38" ht="37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spans="1:38" ht="37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spans="1:38" ht="37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</row>
    <row r="344" spans="1:38" ht="37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spans="1:38" ht="37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spans="1:38" ht="37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spans="1:38" ht="37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spans="1:38" ht="37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spans="1:38" ht="37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</row>
    <row r="350" spans="1:38" ht="37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spans="1:38" ht="37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spans="1:38" ht="37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spans="1:38" ht="37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spans="1:38" ht="37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spans="1:38" ht="37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</row>
    <row r="356" spans="1:38" ht="37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spans="1:38" ht="37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spans="1:38" ht="37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spans="1:38" ht="37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spans="1:38" ht="37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spans="1:38" ht="37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</row>
    <row r="362" spans="1:38" ht="37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spans="1:38" ht="37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spans="1:38" ht="37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spans="1:38" ht="37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spans="1:38" ht="37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spans="1:38" ht="37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</row>
    <row r="368" spans="1:38" ht="37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spans="1:38" ht="37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spans="1:38" ht="37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spans="1:38" ht="37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  <row r="372" spans="1:38" ht="37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</row>
    <row r="373" spans="1:38" ht="37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</row>
    <row r="374" spans="1:38" ht="37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</row>
    <row r="375" spans="1:38" ht="37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</row>
    <row r="376" spans="1:38" ht="37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</row>
    <row r="377" spans="1:38" ht="37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</row>
    <row r="378" spans="1:38" ht="37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</row>
    <row r="379" spans="1:38" ht="37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</row>
    <row r="380" spans="1:38" ht="37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</row>
    <row r="381" spans="1:38" ht="37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</row>
    <row r="382" spans="1:38" ht="37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</row>
    <row r="383" spans="1:38" ht="37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</row>
    <row r="384" spans="1:38" ht="37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</row>
    <row r="385" spans="1:38" ht="37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</row>
    <row r="386" spans="1:38" ht="37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</row>
    <row r="387" spans="1:38" ht="37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</row>
    <row r="388" spans="1:38" ht="37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</row>
    <row r="389" spans="1:38" ht="37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</row>
    <row r="390" spans="1:38" ht="37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</row>
    <row r="391" spans="1:38" ht="37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</row>
    <row r="392" spans="1:38" ht="37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</row>
    <row r="393" spans="1:38" ht="37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</row>
    <row r="394" spans="1:38" ht="37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</row>
    <row r="395" spans="1:38" ht="37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</row>
    <row r="396" spans="1:38" ht="37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</row>
    <row r="397" spans="1:38" ht="37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</row>
    <row r="398" spans="1:38" ht="37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</row>
    <row r="399" spans="1:38" ht="37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</row>
    <row r="400" spans="1:38" ht="37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</row>
    <row r="401" spans="1:38" ht="37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</row>
    <row r="402" spans="1:38" ht="37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</row>
    <row r="403" spans="1:38" ht="37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</row>
    <row r="404" spans="1:38" ht="37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</row>
    <row r="405" spans="1:38" ht="37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</row>
    <row r="406" spans="1:38" ht="37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</row>
    <row r="407" spans="1:38" ht="37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</row>
    <row r="408" spans="1:38" ht="37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</row>
    <row r="409" spans="1:38" ht="37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</row>
    <row r="410" spans="1:38" ht="37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</row>
    <row r="411" spans="1:38" ht="37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</row>
    <row r="412" spans="1:38" ht="37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</row>
    <row r="413" spans="1:38" ht="37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</row>
    <row r="414" spans="1:38" ht="37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</row>
    <row r="415" spans="1:38" ht="37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</row>
    <row r="416" spans="1:38" ht="37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</row>
    <row r="417" spans="1:38" ht="37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</row>
    <row r="418" spans="1:38" ht="37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</row>
    <row r="419" spans="1:38" ht="37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</row>
    <row r="420" spans="1:38" ht="37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</row>
    <row r="421" spans="1:38" ht="37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</row>
    <row r="422" spans="1:38" ht="37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</row>
    <row r="423" spans="1:38" ht="37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</row>
    <row r="424" spans="1:38" ht="37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</row>
    <row r="425" spans="1:38" ht="37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</row>
    <row r="426" spans="1:38" ht="37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</row>
    <row r="427" spans="1:38" ht="37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</row>
    <row r="428" spans="1:38" ht="37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</row>
    <row r="429" spans="1:38" ht="37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</row>
    <row r="430" spans="1:38" ht="37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</row>
    <row r="431" spans="1:38" ht="37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</row>
    <row r="432" spans="1:38" ht="37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</row>
    <row r="433" spans="1:38" ht="37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</row>
    <row r="434" spans="1:38" ht="37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</row>
    <row r="435" spans="1:38" ht="37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</row>
    <row r="436" spans="1:38" ht="37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</row>
    <row r="437" spans="1:38" ht="37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</row>
    <row r="438" spans="1:38" ht="37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</row>
    <row r="439" spans="1:38" ht="37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</row>
    <row r="440" spans="1:38" ht="37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</row>
    <row r="441" spans="1:38" ht="37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</row>
    <row r="442" spans="1:38" ht="37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</row>
    <row r="443" spans="1:38" ht="37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</row>
    <row r="444" spans="1:38" ht="37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</row>
    <row r="445" spans="1:38" ht="37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</row>
    <row r="446" spans="1:38" ht="37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</row>
    <row r="447" spans="1:38" ht="37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</row>
    <row r="448" spans="1:38" ht="37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</row>
    <row r="449" spans="1:38" ht="37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</row>
    <row r="450" spans="1:38" ht="37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</row>
    <row r="451" spans="1:38" ht="37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</row>
    <row r="452" spans="1:38" ht="37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</row>
    <row r="453" spans="1:38" ht="37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</row>
    <row r="454" spans="1:38" ht="37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</row>
    <row r="455" spans="1:38" ht="37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</row>
    <row r="456" spans="1:38" ht="37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</row>
    <row r="457" spans="1:38" ht="37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</row>
    <row r="458" spans="1:38" ht="37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</row>
    <row r="459" spans="1:38" ht="37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</row>
    <row r="460" spans="1:38" ht="37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</row>
    <row r="461" spans="1:38" ht="37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</row>
    <row r="462" spans="1:38" ht="37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</row>
    <row r="463" spans="1:38" ht="37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</row>
    <row r="464" spans="1:38" ht="37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</row>
    <row r="465" spans="1:38" ht="37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</row>
    <row r="466" spans="1:38" ht="37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</row>
    <row r="467" spans="1:38" ht="37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</row>
    <row r="468" spans="1:38" ht="37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</row>
    <row r="469" spans="1:38" ht="37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</row>
    <row r="470" spans="1:38" ht="37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</row>
    <row r="471" spans="1:38" ht="37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</row>
    <row r="472" spans="1:38" ht="37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</row>
    <row r="473" spans="1:38" ht="37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</row>
    <row r="474" spans="1:38" ht="37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</row>
    <row r="475" spans="1:38" ht="37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</row>
    <row r="476" spans="1:38" ht="37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</row>
    <row r="477" spans="1:38" ht="37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</row>
    <row r="478" spans="1:38" ht="37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</row>
    <row r="479" spans="1:38" ht="37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</row>
    <row r="480" spans="1:38" ht="37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</row>
    <row r="481" spans="1:38" ht="37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</row>
    <row r="482" spans="1:38" ht="37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</row>
    <row r="483" spans="1:38" ht="37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</row>
    <row r="484" spans="1:38" ht="37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</row>
    <row r="485" spans="1:38" ht="37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</row>
    <row r="486" spans="1:38" ht="37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</row>
    <row r="487" spans="1:38" ht="37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</row>
    <row r="488" spans="1:38" ht="37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</row>
    <row r="489" spans="1:38" ht="37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</row>
    <row r="490" spans="1:38" ht="37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</row>
    <row r="491" spans="1:38" ht="37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</row>
    <row r="492" spans="1:38" ht="37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</row>
    <row r="493" spans="1:38" ht="37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</row>
    <row r="494" spans="1:38" ht="37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</row>
    <row r="495" spans="1:38" ht="37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</row>
    <row r="496" spans="1:38" ht="37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</row>
    <row r="497" spans="1:38" ht="37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</row>
    <row r="498" spans="1:38" ht="37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</row>
    <row r="499" spans="1:38" ht="37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</row>
    <row r="500" spans="1:38" ht="37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</row>
    <row r="501" spans="1:38" ht="37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</row>
    <row r="502" spans="1:38" ht="37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</row>
    <row r="503" spans="1:38" ht="37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</row>
    <row r="504" spans="1:38" ht="37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</row>
    <row r="505" spans="1:38" ht="37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</row>
    <row r="506" spans="1:38" ht="37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</row>
    <row r="507" spans="1:38" ht="37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</row>
    <row r="508" spans="1:38" ht="37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</row>
    <row r="509" spans="1:38" ht="37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</row>
    <row r="510" spans="1:38" ht="37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</row>
    <row r="511" spans="1:38" ht="37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</row>
    <row r="512" spans="1:38" ht="37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</row>
    <row r="513" spans="1:38" ht="37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</row>
    <row r="514" spans="1:38" ht="37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</row>
    <row r="515" spans="1:38" ht="37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</row>
    <row r="516" spans="1:38" ht="37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</row>
    <row r="517" spans="1:38" ht="37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</row>
    <row r="518" spans="1:38" ht="37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</row>
    <row r="519" spans="1:38" ht="37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</row>
    <row r="520" spans="1:38" ht="37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</row>
    <row r="521" spans="1:38" ht="37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</row>
    <row r="522" spans="1:38" ht="37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</row>
    <row r="523" spans="1:38" ht="37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</row>
    <row r="524" spans="1:38" ht="37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</row>
    <row r="525" spans="1:38" ht="37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</row>
    <row r="526" spans="1:38" ht="37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</row>
    <row r="527" spans="1:38" ht="37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</row>
    <row r="528" spans="1:38" ht="37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</row>
    <row r="529" spans="1:38" ht="37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</row>
    <row r="530" spans="1:38" ht="37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</row>
    <row r="531" spans="1:38" ht="37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</row>
    <row r="532" spans="1:38" ht="37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</row>
    <row r="533" spans="1:38" ht="37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</row>
    <row r="534" spans="1:38" ht="37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</row>
    <row r="535" spans="1:38" ht="37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</row>
    <row r="536" spans="1:38" ht="37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</row>
    <row r="537" spans="1:38" ht="37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</row>
    <row r="538" spans="1:38" ht="37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</row>
    <row r="539" spans="1:38" ht="37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</row>
    <row r="540" spans="1:38" ht="37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</row>
    <row r="541" spans="1:38" ht="37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</row>
    <row r="542" spans="1:38" ht="37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</row>
    <row r="543" spans="1:38" ht="37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</row>
    <row r="544" spans="1:38" ht="37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</row>
    <row r="545" spans="1:38" ht="37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</row>
    <row r="546" spans="1:38" ht="37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</row>
    <row r="547" spans="1:38" ht="37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</row>
    <row r="548" spans="1:38" ht="37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</row>
    <row r="549" spans="1:38" ht="37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</row>
    <row r="550" spans="1:38" ht="37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</row>
    <row r="551" spans="1:38" ht="37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</row>
    <row r="552" spans="1:38" ht="37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</row>
    <row r="553" spans="1:38" ht="37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</row>
    <row r="554" spans="1:38" ht="37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</row>
    <row r="555" spans="1:38" ht="37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</row>
    <row r="556" spans="1:38" ht="37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</row>
    <row r="557" spans="1:38" ht="37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</row>
    <row r="558" spans="1:38" ht="37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</row>
    <row r="559" spans="1:38" ht="37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</row>
    <row r="560" spans="1:38" ht="37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</row>
    <row r="561" spans="1:38" ht="37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</row>
    <row r="562" spans="1:38" ht="37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</row>
    <row r="563" spans="1:38" ht="37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</row>
    <row r="564" spans="1:38" ht="37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</row>
    <row r="565" spans="1:38" ht="37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</row>
    <row r="566" spans="1:38" ht="37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</row>
    <row r="567" spans="1:38" ht="37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</row>
    <row r="568" spans="1:38" ht="37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</row>
    <row r="569" spans="1:38" ht="37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</row>
    <row r="570" spans="1:38" ht="37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</row>
    <row r="571" spans="1:38" ht="37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</row>
    <row r="572" spans="1:38" ht="37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</row>
    <row r="573" spans="1:38" ht="37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</row>
    <row r="574" spans="1:38" ht="37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</row>
    <row r="575" spans="1:38" ht="37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</row>
    <row r="576" spans="1:38" ht="37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</row>
    <row r="577" spans="1:38" ht="37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</row>
    <row r="578" spans="1:38" ht="37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</row>
    <row r="579" spans="1:38" ht="37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</row>
    <row r="580" spans="1:38" ht="37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</row>
    <row r="581" spans="1:38" ht="37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</row>
    <row r="582" spans="1:38" ht="37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</row>
    <row r="583" spans="1:38" ht="37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</row>
    <row r="584" spans="1:38" ht="37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</row>
    <row r="585" spans="1:38" ht="37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</row>
    <row r="586" spans="1:38" ht="37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</row>
    <row r="587" spans="1:38" ht="37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</row>
    <row r="588" spans="1:38" ht="37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</row>
    <row r="589" spans="1:38" ht="37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</row>
    <row r="590" spans="1:38" ht="37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</row>
    <row r="591" spans="1:38" ht="37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</row>
    <row r="592" spans="1:38" ht="37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</row>
    <row r="593" spans="1:38" ht="37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</row>
    <row r="594" spans="1:38" ht="37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</row>
    <row r="595" spans="1:38" ht="37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</row>
    <row r="596" spans="1:38" ht="37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</row>
    <row r="597" spans="1:38" ht="37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</row>
    <row r="598" spans="1:38" ht="37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</row>
    <row r="599" spans="1:38" ht="37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</row>
    <row r="600" spans="1:38" ht="37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</row>
    <row r="601" spans="1:38" ht="37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</row>
    <row r="602" spans="1:38" ht="37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</row>
    <row r="603" spans="1:38" ht="37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</row>
    <row r="604" spans="1:38" ht="37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</row>
    <row r="605" spans="1:38" ht="37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</row>
    <row r="606" spans="1:38" ht="37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</row>
    <row r="607" spans="1:38" ht="37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</row>
    <row r="608" spans="1:38" ht="37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</row>
    <row r="609" spans="1:38" ht="37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</row>
    <row r="610" spans="1:38" ht="37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</row>
    <row r="611" spans="1:38" ht="37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</row>
    <row r="612" spans="1:38" ht="37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</row>
    <row r="613" spans="1:38" ht="37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</row>
    <row r="614" spans="1:38" ht="37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</row>
    <row r="615" spans="1:38" ht="37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</row>
    <row r="616" spans="1:38" ht="37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</row>
    <row r="617" spans="1:38" ht="37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</row>
    <row r="618" spans="1:38" ht="37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</row>
    <row r="619" spans="1:38" ht="37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</row>
    <row r="620" spans="1:38" ht="37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</row>
    <row r="621" spans="1:38" ht="37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</row>
    <row r="622" spans="1:38" ht="37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</row>
    <row r="623" spans="1:38" ht="37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</row>
    <row r="624" spans="1:38" ht="37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</row>
    <row r="625" spans="1:38" ht="37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</row>
    <row r="626" spans="1:38" ht="37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</row>
    <row r="627" spans="1:38" ht="37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</row>
    <row r="628" spans="1:38" ht="37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</row>
    <row r="629" spans="1:38" ht="37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</row>
    <row r="630" spans="1:38" ht="37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</row>
    <row r="631" spans="1:38" ht="37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</row>
    <row r="632" spans="1:38" ht="37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</row>
    <row r="633" spans="1:38" ht="37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</row>
    <row r="634" spans="1:38" ht="37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</row>
    <row r="635" spans="1:38" ht="37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</row>
    <row r="636" spans="1:38" ht="37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</row>
    <row r="637" spans="1:38" ht="37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</row>
    <row r="638" spans="1:38" ht="37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</row>
    <row r="639" spans="1:38" ht="37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</row>
    <row r="640" spans="1:38" ht="37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</row>
    <row r="641" spans="1:38" ht="37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</row>
    <row r="642" spans="1:38" ht="37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</row>
    <row r="643" spans="1:38" ht="37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</row>
    <row r="644" spans="1:38" ht="37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</row>
    <row r="645" spans="1:38" ht="37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</row>
    <row r="646" spans="1:38" ht="37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</row>
    <row r="647" spans="1:38" ht="37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</row>
    <row r="648" spans="1:38" ht="37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</row>
    <row r="649" spans="1:38" ht="37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</row>
    <row r="650" spans="1:38" ht="37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</row>
    <row r="651" spans="1:38" ht="37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</row>
    <row r="652" spans="1:38" ht="37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</row>
    <row r="653" spans="1:38" ht="37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</row>
    <row r="654" spans="1:38" ht="37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</row>
    <row r="655" spans="1:38" ht="37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</row>
    <row r="656" spans="1:38" ht="37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</row>
    <row r="657" spans="1:38" ht="37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</row>
    <row r="658" spans="1:38" ht="37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</row>
    <row r="659" spans="1:38" ht="37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</row>
    <row r="660" spans="1:38" ht="37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</row>
    <row r="661" spans="1:38" ht="37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</row>
    <row r="662" spans="1:38" ht="37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</row>
    <row r="663" spans="1:38" ht="37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</row>
    <row r="664" spans="1:38" ht="37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</row>
    <row r="665" spans="1:38" ht="37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</row>
    <row r="666" spans="1:38" ht="37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</row>
    <row r="667" spans="1:38" ht="37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</row>
    <row r="668" spans="1:38" ht="37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</row>
    <row r="669" spans="1:38" ht="37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</row>
    <row r="670" spans="1:38" ht="37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</row>
    <row r="671" spans="1:38" ht="37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</row>
    <row r="672" spans="1:38" ht="37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</row>
    <row r="673" spans="1:38" ht="37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</row>
    <row r="674" spans="1:38" ht="37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</row>
    <row r="675" spans="1:38" ht="37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</row>
    <row r="676" spans="1:38" ht="37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</row>
    <row r="677" spans="1:38" ht="37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</row>
    <row r="678" spans="1:38" ht="37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</row>
    <row r="679" spans="1:38" ht="37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</row>
    <row r="680" spans="1:38" ht="37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</row>
    <row r="681" spans="1:38" ht="37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</row>
    <row r="682" spans="1:38" ht="37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</row>
    <row r="683" spans="1:38" ht="37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</row>
    <row r="684" spans="1:38" ht="37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</row>
    <row r="685" spans="1:38" ht="37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</row>
    <row r="686" spans="1:38" ht="37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</row>
    <row r="687" spans="1:38" ht="37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</row>
    <row r="688" spans="1:38" ht="37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</row>
    <row r="689" spans="1:38" ht="37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</row>
    <row r="690" spans="1:38" ht="37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</row>
    <row r="691" spans="1:38" ht="37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</row>
    <row r="692" spans="1:38" ht="37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</row>
    <row r="693" spans="1:38" ht="37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</row>
    <row r="694" spans="1:38" ht="37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</row>
    <row r="695" spans="1:38" ht="37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</row>
    <row r="696" spans="1:38" ht="37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</row>
    <row r="697" spans="1:38" ht="37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</row>
    <row r="698" spans="1:38" ht="37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</row>
    <row r="699" spans="1:38" ht="37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</row>
    <row r="700" spans="1:38" ht="37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</row>
    <row r="701" spans="1:38" ht="37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</row>
    <row r="702" spans="1:38" ht="37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</row>
    <row r="703" spans="1:38" ht="37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</row>
    <row r="704" spans="1:38" ht="37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</row>
    <row r="705" spans="1:38" ht="37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</row>
    <row r="706" spans="1:38" ht="37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</row>
    <row r="707" spans="1:38" ht="37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</row>
    <row r="708" spans="1:38" ht="37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</row>
    <row r="709" spans="1:38" ht="37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</row>
    <row r="710" spans="1:38" ht="37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</row>
    <row r="711" spans="1:38" ht="37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</row>
    <row r="712" spans="1:38" ht="37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</row>
    <row r="713" spans="1:38" ht="37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</row>
    <row r="714" spans="1:38" ht="37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</row>
    <row r="715" spans="1:38" ht="37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</row>
    <row r="716" spans="1:38" ht="37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</row>
    <row r="717" spans="1:38" ht="37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</row>
    <row r="718" spans="1:38" ht="37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</row>
    <row r="719" spans="1:38" ht="37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</row>
    <row r="720" spans="1:38" ht="37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</row>
    <row r="721" spans="1:38" ht="37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</row>
    <row r="722" spans="1:38" ht="37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</row>
    <row r="723" spans="1:38" ht="37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</row>
    <row r="724" spans="1:38" ht="37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</row>
    <row r="725" spans="1:38" ht="37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</row>
    <row r="726" spans="1:38" ht="37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</row>
    <row r="727" spans="1:38" ht="37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</row>
    <row r="728" spans="1:38" ht="37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</row>
    <row r="729" spans="1:38" ht="37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</row>
    <row r="730" spans="1:38" ht="37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</row>
    <row r="731" spans="1:38" ht="37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</row>
    <row r="732" spans="1:38" ht="37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</row>
    <row r="733" spans="1:38" ht="37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</row>
    <row r="734" spans="1:38" ht="37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</row>
    <row r="735" spans="1:38" ht="37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</row>
    <row r="736" spans="1:38" ht="37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</row>
    <row r="737" spans="1:38" ht="37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</row>
    <row r="738" spans="1:38" ht="37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</row>
    <row r="739" spans="1:38" ht="37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</row>
    <row r="740" spans="1:38" ht="37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</row>
    <row r="741" spans="1:38" ht="37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</row>
    <row r="742" spans="1:38" ht="37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</row>
    <row r="743" spans="1:38" ht="37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</row>
    <row r="744" spans="1:38" ht="37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</row>
    <row r="745" spans="1:38" ht="37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</row>
    <row r="746" spans="1:38" ht="37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</row>
    <row r="747" spans="1:38" ht="37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</row>
    <row r="748" spans="1:38" ht="37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</row>
    <row r="749" spans="1:38" ht="37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</row>
    <row r="750" spans="1:38" ht="37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</row>
    <row r="751" spans="1:38" ht="37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</row>
    <row r="752" spans="1:38" ht="37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</row>
    <row r="753" spans="1:38" ht="37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</row>
    <row r="754" spans="1:38" ht="37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</row>
    <row r="755" spans="1:38" ht="37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</row>
    <row r="756" spans="1:38" ht="37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</row>
    <row r="757" spans="1:38" ht="37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</row>
    <row r="758" spans="1:38" ht="37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</row>
    <row r="759" spans="1:38" ht="37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</row>
    <row r="760" spans="1:38" ht="37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</row>
    <row r="761" spans="1:38" ht="37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</row>
    <row r="762" spans="1:38" ht="37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</row>
    <row r="763" spans="1:38" ht="37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</row>
    <row r="764" spans="1:38" ht="37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</row>
    <row r="765" spans="1:38" ht="37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</row>
    <row r="766" spans="1:38" ht="37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</row>
    <row r="767" spans="1:38" ht="37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</row>
    <row r="768" spans="1:38" ht="37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</row>
    <row r="769" spans="1:38" ht="37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</row>
    <row r="770" spans="1:38" ht="37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</row>
    <row r="771" spans="1:38" ht="37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</row>
    <row r="772" spans="1:38" ht="37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</row>
    <row r="773" spans="1:38" ht="37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</row>
    <row r="774" spans="1:38" ht="37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</row>
    <row r="775" spans="1:38" ht="37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</row>
    <row r="776" spans="1:38" ht="37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</row>
    <row r="777" spans="1:38" ht="37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</row>
    <row r="778" spans="1:38" ht="37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</row>
    <row r="779" spans="1:38" ht="37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</row>
    <row r="780" spans="1:38" ht="37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</row>
    <row r="781" spans="1:38" ht="37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</row>
    <row r="782" spans="1:38" ht="37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</row>
    <row r="783" spans="1:38" ht="37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</row>
    <row r="784" spans="1:38" ht="37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</row>
    <row r="785" spans="1:38" ht="37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</row>
    <row r="786" spans="1:38" ht="37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</row>
    <row r="787" spans="1:38" ht="37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</row>
    <row r="788" spans="1:38" ht="37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</row>
    <row r="789" spans="1:38" ht="37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</row>
    <row r="790" spans="1:38" ht="37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</row>
    <row r="791" spans="1:38" ht="37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</row>
    <row r="792" spans="1:38" ht="37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</row>
    <row r="793" spans="1:38" ht="37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</row>
    <row r="794" spans="1:38" ht="37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</row>
    <row r="795" spans="1:38" ht="37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</row>
    <row r="796" spans="1:38" ht="37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</row>
    <row r="797" spans="1:38" ht="37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</row>
    <row r="798" spans="1:38" ht="37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</row>
    <row r="799" spans="1:38" ht="37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</row>
    <row r="800" spans="1:38" ht="37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</row>
    <row r="801" spans="1:38" ht="37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</row>
    <row r="802" spans="1:38" ht="37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</row>
    <row r="803" spans="1:38" ht="37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</row>
    <row r="804" spans="1:38" ht="37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</row>
    <row r="805" spans="1:38" ht="37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</row>
    <row r="806" spans="1:38" ht="37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</row>
    <row r="807" spans="1:38" ht="37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</row>
    <row r="808" spans="1:38" ht="37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</row>
    <row r="809" spans="1:38" ht="37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</row>
    <row r="810" spans="1:38" ht="37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</row>
    <row r="811" spans="1:38" ht="37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</row>
    <row r="812" spans="1:38" ht="37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</row>
    <row r="813" spans="1:38" ht="37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</row>
    <row r="814" spans="1:38" ht="37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</row>
    <row r="815" spans="1:38" ht="37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</row>
    <row r="816" spans="1:38" ht="37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</row>
    <row r="817" spans="1:38" ht="37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</row>
    <row r="818" spans="1:38" ht="37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</row>
    <row r="819" spans="1:38" ht="37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</row>
    <row r="820" spans="1:38" ht="37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</row>
    <row r="821" spans="1:38" ht="37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</row>
    <row r="822" spans="1:38" ht="37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</row>
    <row r="823" spans="1:38" ht="37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</row>
    <row r="824" spans="1:38" ht="37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</row>
    <row r="825" spans="1:38" ht="37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</row>
    <row r="826" spans="1:38" ht="37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</row>
    <row r="827" spans="1:38" ht="37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</row>
    <row r="828" spans="1:38" ht="37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</row>
    <row r="829" spans="1:38" ht="37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</row>
    <row r="830" spans="1:38" ht="37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</row>
    <row r="831" spans="1:38" ht="37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</row>
    <row r="832" spans="1:38" ht="37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</row>
    <row r="833" spans="1:38" ht="37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</row>
    <row r="834" spans="1:38" ht="37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</row>
    <row r="835" spans="1:38" ht="37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</row>
    <row r="836" spans="1:38" ht="37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</row>
    <row r="837" spans="1:38" ht="37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</row>
    <row r="838" spans="1:38" ht="37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</row>
    <row r="839" spans="1:38" ht="37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</row>
    <row r="840" spans="1:38" ht="37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</row>
    <row r="841" spans="1:38" ht="37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</row>
    <row r="842" spans="1:38" ht="37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</row>
    <row r="843" spans="1:38" ht="37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</row>
    <row r="844" spans="1:38" ht="37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</row>
    <row r="845" spans="1:38" ht="37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</row>
    <row r="846" spans="1:38" ht="37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</row>
    <row r="847" spans="1:38" ht="37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</row>
    <row r="848" spans="1:38" ht="37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</row>
    <row r="849" spans="1:38" ht="37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</row>
    <row r="850" spans="1:38" ht="37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</row>
    <row r="851" spans="1:38" ht="37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</row>
    <row r="852" spans="1:38" ht="37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</row>
    <row r="853" spans="1:38" ht="37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</row>
    <row r="854" spans="1:38" ht="37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</row>
    <row r="855" spans="1:38" ht="37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</row>
    <row r="856" spans="1:38" ht="37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</row>
    <row r="857" spans="1:38" ht="37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</row>
    <row r="858" spans="1:38" ht="37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</row>
    <row r="859" spans="1:38" ht="37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</row>
    <row r="860" spans="1:38" ht="37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</row>
    <row r="861" spans="1:38" ht="37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</row>
    <row r="862" spans="1:38" ht="37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</row>
    <row r="863" spans="1:38" ht="37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</row>
    <row r="864" spans="1:38" ht="37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</row>
    <row r="865" spans="1:38" ht="37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</row>
    <row r="866" spans="1:38" ht="37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</row>
    <row r="867" spans="1:38" ht="37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</row>
    <row r="868" spans="1:38" ht="37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</row>
    <row r="869" spans="1:38" ht="37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</row>
    <row r="870" spans="1:38" ht="37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</row>
    <row r="871" spans="1:38" ht="37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</row>
    <row r="872" spans="1:38" ht="37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</row>
    <row r="873" spans="1:38" ht="37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</row>
    <row r="874" spans="1:38" ht="37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</row>
    <row r="875" spans="1:38" ht="37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</row>
    <row r="876" spans="1:38" ht="37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</row>
    <row r="877" spans="1:38" ht="37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</row>
    <row r="878" spans="1:38" ht="37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</row>
    <row r="879" spans="1:38" ht="37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</row>
    <row r="880" spans="1:38" ht="37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</row>
    <row r="881" spans="1:38" ht="37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</row>
    <row r="882" spans="1:38" ht="37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</row>
    <row r="883" spans="1:38" ht="37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</row>
    <row r="884" spans="1:38" ht="37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</row>
    <row r="885" spans="1:38" ht="37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</row>
    <row r="886" spans="1:38" ht="37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</row>
    <row r="887" spans="1:38" ht="37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</row>
    <row r="888" spans="1:38" ht="37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</row>
    <row r="889" spans="1:38" ht="37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</row>
    <row r="890" spans="1:38" ht="37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</row>
    <row r="891" spans="1:38" ht="37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</row>
    <row r="892" spans="1:38" ht="37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</row>
    <row r="893" spans="1:38" ht="37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</row>
    <row r="894" spans="1:38" ht="37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</row>
    <row r="895" spans="1:38" ht="37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</row>
    <row r="896" spans="1:38" ht="37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</row>
    <row r="897" spans="1:38" ht="37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</row>
    <row r="898" spans="1:38" ht="37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</row>
    <row r="899" spans="1:38" ht="37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</row>
    <row r="900" spans="1:38" ht="37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</row>
    <row r="901" spans="1:38" ht="37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</row>
    <row r="902" spans="1:38" ht="37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</row>
    <row r="903" spans="1:38" ht="37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</row>
    <row r="904" spans="1:38" ht="37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</row>
    <row r="905" spans="1:38" ht="37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</row>
    <row r="906" spans="1:38" ht="37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</row>
    <row r="907" spans="1:38" ht="37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</row>
    <row r="908" spans="1:38" ht="37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</row>
    <row r="909" spans="1:38" ht="37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</row>
    <row r="910" spans="1:38" ht="37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</row>
    <row r="911" spans="1:38" ht="37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</row>
    <row r="912" spans="1:38" ht="37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</row>
    <row r="913" spans="1:38" ht="37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</row>
    <row r="914" spans="1:38" ht="37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</row>
    <row r="915" spans="1:38" ht="37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</row>
    <row r="916" spans="1:38" ht="37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</row>
    <row r="917" spans="1:38" ht="37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</row>
    <row r="918" spans="1:38" ht="37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</row>
    <row r="919" spans="1:38" ht="37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</row>
    <row r="920" spans="1:38" ht="37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</row>
    <row r="921" spans="1:38" ht="37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</row>
    <row r="922" spans="1:38" ht="37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</row>
    <row r="923" spans="1:38" ht="37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</row>
    <row r="924" spans="1:38" ht="37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</row>
    <row r="925" spans="1:38" ht="37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</row>
    <row r="926" spans="1:38" ht="37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</row>
    <row r="927" spans="1:38" ht="37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</row>
    <row r="928" spans="1:38" ht="37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</row>
    <row r="929" spans="1:38" ht="37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</row>
    <row r="930" spans="1:38" ht="37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</row>
    <row r="931" spans="1:38" ht="37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</row>
    <row r="932" spans="1:38" ht="37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</row>
    <row r="933" spans="1:38" ht="37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</row>
    <row r="934" spans="1:38" ht="37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</row>
    <row r="935" spans="1:38" ht="37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</row>
    <row r="936" spans="1:38" ht="37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</row>
    <row r="937" spans="1:38" ht="37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</row>
    <row r="938" spans="1:38" ht="37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</row>
    <row r="939" spans="1:38" ht="37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</row>
    <row r="940" spans="1:38" ht="37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</row>
    <row r="941" spans="1:38" ht="37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</row>
    <row r="942" spans="1:38" ht="37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</row>
    <row r="943" spans="1:38" ht="37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</row>
    <row r="944" spans="1:38" ht="37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</row>
    <row r="945" spans="1:38" ht="37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</row>
    <row r="946" spans="1:38" ht="37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</row>
    <row r="947" spans="1:38" ht="37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</row>
    <row r="948" spans="1:38" ht="37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</row>
    <row r="949" spans="1:38" ht="37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</row>
    <row r="950" spans="1:38" ht="37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</row>
    <row r="951" spans="1:38" ht="37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</row>
    <row r="952" spans="1:38" ht="37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</row>
    <row r="953" spans="1:38" ht="37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</row>
    <row r="954" spans="1:38" ht="37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</row>
    <row r="955" spans="1:38" ht="37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</row>
    <row r="956" spans="1:38" ht="37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</row>
    <row r="957" spans="1:38" ht="37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</row>
    <row r="958" spans="1:38" ht="37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</row>
    <row r="959" spans="1:38" ht="37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</row>
    <row r="960" spans="1:38" ht="37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</row>
    <row r="961" spans="1:38" ht="37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</row>
    <row r="962" spans="1:38" ht="37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</row>
    <row r="963" spans="1:38" ht="37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</row>
    <row r="964" spans="1:38" ht="37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</row>
    <row r="965" spans="1:38" ht="37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</row>
    <row r="966" spans="1:38" ht="37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</row>
    <row r="967" spans="1:38" ht="37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</row>
    <row r="968" spans="1:38" ht="37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</row>
    <row r="969" spans="1:38" ht="37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</row>
    <row r="970" spans="1:38" ht="37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</row>
    <row r="971" spans="1:38" ht="37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</row>
    <row r="972" spans="1:38" ht="37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</row>
    <row r="973" spans="1:38" ht="37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</row>
    <row r="974" spans="1:38" ht="37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</row>
    <row r="975" spans="1:38" ht="37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</row>
    <row r="976" spans="1:38" ht="37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</row>
    <row r="977" spans="1:38" ht="37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</row>
    <row r="978" spans="1:38" ht="37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</row>
    <row r="979" spans="1:38" ht="37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</row>
    <row r="980" spans="1:38" ht="37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</row>
    <row r="981" spans="1:38" ht="37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</row>
    <row r="982" spans="1:38" ht="37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</row>
    <row r="983" spans="1:38" ht="37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</row>
    <row r="984" spans="1:38" ht="37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</row>
    <row r="985" spans="1:38" ht="37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</row>
    <row r="986" spans="1:38" ht="37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</row>
    <row r="987" spans="1:38" ht="37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</row>
    <row r="988" spans="1:38" ht="37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</row>
    <row r="989" spans="1:38" ht="37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</row>
    <row r="990" spans="1:38" ht="37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</row>
    <row r="991" spans="1:38" ht="37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</row>
    <row r="992" spans="1:38" ht="37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</row>
    <row r="993" spans="1:38" ht="37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</row>
    <row r="994" spans="1:38" ht="37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</row>
    <row r="995" spans="1:38" ht="37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</row>
    <row r="996" spans="1:38" ht="37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</row>
    <row r="997" spans="1:38" ht="37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</row>
    <row r="998" spans="1:38" ht="37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</row>
    <row r="999" spans="1:38" ht="37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</row>
    <row r="1000" spans="1:38" ht="37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</row>
    <row r="1001" spans="1:38" ht="37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</row>
    <row r="1002" spans="1:38" ht="37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</row>
    <row r="1003" spans="1:38" ht="37.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</row>
    <row r="1004" spans="1:38" ht="37.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</row>
    <row r="1005" spans="1:38" ht="37.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</row>
    <row r="1006" spans="1:38" ht="37.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</row>
    <row r="1007" spans="1:38" ht="37.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</row>
    <row r="1008" spans="1:38" ht="37.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</row>
    <row r="1009" spans="1:38" ht="37.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</row>
    <row r="1010" spans="1:38" ht="37.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</row>
    <row r="1011" spans="1:38" ht="37.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</row>
  </sheetData>
  <mergeCells count="10">
    <mergeCell ref="C10:E10"/>
    <mergeCell ref="H10:K10"/>
    <mergeCell ref="Q19:S19"/>
    <mergeCell ref="C2:H2"/>
    <mergeCell ref="K2:P2"/>
    <mergeCell ref="C4:H4"/>
    <mergeCell ref="G6:H6"/>
    <mergeCell ref="K6:M6"/>
    <mergeCell ref="G8:H8"/>
    <mergeCell ref="K8:M8"/>
  </mergeCells>
  <pageMargins left="0.511811024" right="0.511811024" top="0.78740157499999996" bottom="0.78740157499999996" header="0.31496062000000002" footer="0.31496062000000002"/>
  <pageSetup paperSize="9" scale="35" orientation="portrait" r:id="rId1"/>
  <colBreaks count="1" manualBreakCount="1">
    <brk id="17" max="1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BFBFBF"/>
  </sheetPr>
  <dimension ref="A1:Z983"/>
  <sheetViews>
    <sheetView view="pageBreakPreview" zoomScale="60" zoomScaleNormal="100"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24.26953125" customWidth="1"/>
    <col min="4" max="4" width="23.453125" customWidth="1"/>
    <col min="5" max="5" width="25.08984375" customWidth="1"/>
    <col min="6" max="6" width="24.453125" customWidth="1"/>
    <col min="7" max="7" width="27.453125" customWidth="1"/>
    <col min="8" max="8" width="31.81640625" customWidth="1"/>
    <col min="9" max="9" width="22.54296875" customWidth="1"/>
    <col min="10" max="10" width="31.26953125" customWidth="1"/>
    <col min="11" max="11" width="29.7265625" hidden="1" customWidth="1"/>
    <col min="12" max="12" width="50.08984375" hidden="1" customWidth="1"/>
    <col min="13" max="26" width="14.453125" hidden="1"/>
  </cols>
  <sheetData>
    <row r="1" spans="1:11" ht="11.25" customHeight="1">
      <c r="A1" s="1031" t="b">
        <v>1</v>
      </c>
      <c r="B1" s="1032" t="s">
        <v>308</v>
      </c>
      <c r="C1" s="1033"/>
      <c r="D1" s="1033"/>
      <c r="E1" s="1033"/>
      <c r="F1" s="1033"/>
      <c r="G1" s="1033"/>
      <c r="H1" s="1033"/>
      <c r="I1" s="1033"/>
      <c r="J1" s="1033"/>
      <c r="K1" s="1031"/>
    </row>
    <row r="2" spans="1:11" ht="23.25" customHeight="1">
      <c r="A2" s="1031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</row>
    <row r="3" spans="1:11" ht="24.75" customHeight="1">
      <c r="A3" s="1031"/>
      <c r="B3" s="1634" t="str">
        <f>'1-ABA-DE-CARREGAMENTO'!F33</f>
        <v>3341-05_INSTRUTOR-de-ALUNOS_20hs</v>
      </c>
      <c r="C3" s="1575"/>
      <c r="D3" s="1575"/>
      <c r="E3" s="1575"/>
      <c r="F3" s="1575"/>
      <c r="G3" s="1575"/>
      <c r="H3" s="1575"/>
      <c r="I3" s="1575"/>
      <c r="J3" s="1608"/>
      <c r="K3" s="720"/>
    </row>
    <row r="4" spans="1:11" ht="11.25" customHeight="1">
      <c r="A4" s="1031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</row>
    <row r="5" spans="1:11" ht="11.25" customHeight="1">
      <c r="A5" s="1031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</row>
    <row r="6" spans="1:11" ht="11.25" customHeight="1">
      <c r="A6" s="1031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</row>
    <row r="7" spans="1:11" ht="11.25" customHeight="1">
      <c r="A7" s="1031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</row>
    <row r="8" spans="1:11" ht="13.5" customHeight="1">
      <c r="A8" s="1031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</row>
    <row r="9" spans="1:11" ht="13.5" customHeight="1">
      <c r="A9" s="1031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</row>
    <row r="10" spans="1:11" ht="13.5" customHeight="1">
      <c r="A10" s="1031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'1-ABA-DE-CARREGAMENTO'!F35</f>
        <v>RS001208/2026</v>
      </c>
      <c r="J10" s="1478"/>
      <c r="K10" s="721"/>
    </row>
    <row r="11" spans="1:11" ht="13.5" customHeight="1">
      <c r="A11" s="1031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'1-ABA-DE-CARREGAMENTO'!F94</f>
        <v>30</v>
      </c>
      <c r="J11" s="1478"/>
      <c r="K11" s="721"/>
    </row>
    <row r="12" spans="1:11" ht="13.5" customHeight="1">
      <c r="A12" s="1031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</row>
    <row r="13" spans="1:11" ht="13.5" customHeight="1">
      <c r="A13" s="1031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</row>
    <row r="14" spans="1:11" ht="13.5" hidden="1" customHeight="1" outlineLevel="1">
      <c r="A14" s="1031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</row>
    <row r="15" spans="1:11" ht="13.5" hidden="1" customHeight="1" outlineLevel="1">
      <c r="A15" s="1031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</row>
    <row r="16" spans="1:11" ht="13.5" hidden="1" customHeight="1" outlineLevel="1">
      <c r="A16" s="1031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</row>
    <row r="17" spans="1:11" ht="13.5" customHeight="1" collapsed="1">
      <c r="A17" s="1031"/>
      <c r="B17" s="1611" t="str">
        <f>B3</f>
        <v>3341-05_INSTRUTOR-de-ALUNOS_20hs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'1-ABA-DE-CARREGAMENTO'!F92</f>
        <v>0</v>
      </c>
      <c r="J17" s="1478"/>
      <c r="K17" s="728"/>
    </row>
    <row r="18" spans="1:11" ht="13.5" hidden="1" customHeight="1" outlineLevel="1">
      <c r="A18" s="1031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</row>
    <row r="19" spans="1:11" ht="13.5" hidden="1" customHeight="1" outlineLevel="1">
      <c r="A19" s="1031"/>
      <c r="B19" s="1611" t="s">
        <v>770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</row>
    <row r="20" spans="1:11" ht="13.5" customHeight="1" collapsed="1">
      <c r="A20" s="1031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0</v>
      </c>
      <c r="J20" s="1478"/>
      <c r="K20" s="729"/>
    </row>
    <row r="21" spans="1:11" ht="13.5" customHeight="1">
      <c r="A21" s="1031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</row>
    <row r="22" spans="1:11" ht="14.5">
      <c r="A22" s="1031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</row>
    <row r="23" spans="1:11" ht="13.5" customHeight="1">
      <c r="A23" s="1031"/>
      <c r="B23" s="1618"/>
      <c r="C23" s="1477"/>
      <c r="D23" s="1477"/>
      <c r="E23" s="1477"/>
      <c r="F23" s="1477"/>
      <c r="G23" s="1477"/>
      <c r="H23" s="1477"/>
      <c r="I23" s="1477"/>
      <c r="J23" s="1478"/>
      <c r="K23" s="459"/>
    </row>
    <row r="24" spans="1:11" ht="19.5" customHeight="1">
      <c r="A24" s="1031"/>
      <c r="B24" s="1726" t="s">
        <v>771</v>
      </c>
      <c r="C24" s="1477"/>
      <c r="D24" s="1477"/>
      <c r="E24" s="1477"/>
      <c r="F24" s="1477"/>
      <c r="G24" s="1477"/>
      <c r="H24" s="1477"/>
      <c r="I24" s="1477"/>
      <c r="J24" s="1478"/>
      <c r="K24" s="1034"/>
    </row>
    <row r="25" spans="1:11" ht="13.5" customHeight="1">
      <c r="A25" s="1031"/>
      <c r="B25" s="1727"/>
      <c r="C25" s="1477"/>
      <c r="D25" s="1477"/>
      <c r="E25" s="1477"/>
      <c r="F25" s="1477"/>
      <c r="G25" s="1477"/>
      <c r="H25" s="1477"/>
      <c r="I25" s="1477"/>
      <c r="J25" s="1478"/>
      <c r="K25" s="1035"/>
    </row>
    <row r="26" spans="1:11" ht="13.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</row>
    <row r="27" spans="1:11" ht="17.25" customHeight="1">
      <c r="A27" s="1031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'1-ABA-DE-CARREGAMENTO'!F33</f>
        <v>3341-05_INSTRUTOR-de-ALUNOS_20hs</v>
      </c>
      <c r="J27" s="1478"/>
      <c r="K27" s="732"/>
    </row>
    <row r="28" spans="1:11" ht="17.25" customHeight="1">
      <c r="A28" s="1031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624" t="str">
        <f>LEFT(I27,7)</f>
        <v>3341-05</v>
      </c>
      <c r="J28" s="1478"/>
      <c r="K28" s="734"/>
    </row>
    <row r="29" spans="1:11" ht="48.75" customHeight="1">
      <c r="A29" s="1031"/>
      <c r="B29" s="696">
        <v>3</v>
      </c>
      <c r="C29" s="1625" t="s">
        <v>772</v>
      </c>
      <c r="D29" s="1468"/>
      <c r="E29" s="1036">
        <v>220</v>
      </c>
      <c r="F29" s="737">
        <f>'1-ABA-DE-CARREGAMENTO'!F37</f>
        <v>2190.98</v>
      </c>
      <c r="G29" s="738" t="s">
        <v>337</v>
      </c>
      <c r="H29" s="739">
        <v>100</v>
      </c>
      <c r="I29" s="1708">
        <f>F29/200*H29</f>
        <v>1095.49</v>
      </c>
      <c r="J29" s="1478"/>
      <c r="K29" s="1037"/>
    </row>
    <row r="30" spans="1:11" ht="11.25" customHeight="1">
      <c r="A30" s="1031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</row>
    <row r="31" spans="1:11" ht="11.25" customHeight="1">
      <c r="A31" s="1031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'1-ABA-DE-CARREGAMENTO'!F36</f>
        <v xml:space="preserve">01 de ABRIL </v>
      </c>
      <c r="J31" s="1478"/>
      <c r="K31" s="742"/>
    </row>
    <row r="32" spans="1:11" ht="21.75" customHeight="1">
      <c r="A32" s="1031"/>
      <c r="B32" s="1038">
        <v>6</v>
      </c>
      <c r="C32" s="1560" t="s">
        <v>773</v>
      </c>
      <c r="D32" s="1477"/>
      <c r="E32" s="1477"/>
      <c r="F32" s="1477"/>
      <c r="G32" s="1477"/>
      <c r="H32" s="1478"/>
      <c r="I32" s="1630">
        <f>ROUND(F29/200,2)</f>
        <v>10.95</v>
      </c>
      <c r="J32" s="1478"/>
      <c r="K32" s="744"/>
    </row>
    <row r="33" spans="1:11" ht="40.5" customHeight="1">
      <c r="A33" s="1031"/>
      <c r="B33" s="1038">
        <v>7</v>
      </c>
      <c r="C33" s="1560" t="s">
        <v>774</v>
      </c>
      <c r="D33" s="1477"/>
      <c r="E33" s="1477"/>
      <c r="F33" s="1478"/>
      <c r="G33" s="1631"/>
      <c r="H33" s="1478"/>
      <c r="I33" s="1632">
        <f>(I32*I50)+I32</f>
        <v>13.139999999999999</v>
      </c>
      <c r="J33" s="1478"/>
      <c r="K33" s="744"/>
    </row>
    <row r="34" spans="1:11" ht="27" customHeight="1">
      <c r="A34" s="1031"/>
      <c r="B34" s="1038">
        <v>8</v>
      </c>
      <c r="C34" s="1560" t="s">
        <v>775</v>
      </c>
      <c r="D34" s="1477"/>
      <c r="E34" s="1477"/>
      <c r="F34" s="1478"/>
      <c r="G34" s="1631"/>
      <c r="H34" s="1478"/>
      <c r="I34" s="1630">
        <f t="shared" ref="I34:I35" si="0">I32*1.5</f>
        <v>16.424999999999997</v>
      </c>
      <c r="J34" s="1478"/>
      <c r="K34" s="744"/>
    </row>
    <row r="35" spans="1:11" ht="27" customHeight="1">
      <c r="A35" s="1031"/>
      <c r="B35" s="1038">
        <v>9</v>
      </c>
      <c r="C35" s="1560" t="s">
        <v>776</v>
      </c>
      <c r="D35" s="1477"/>
      <c r="E35" s="1477"/>
      <c r="F35" s="1478"/>
      <c r="G35" s="1631" t="s">
        <v>344</v>
      </c>
      <c r="H35" s="1478"/>
      <c r="I35" s="1632">
        <f t="shared" si="0"/>
        <v>19.709999999999997</v>
      </c>
      <c r="J35" s="1478"/>
      <c r="K35" s="1039"/>
    </row>
    <row r="36" spans="1:11" ht="27" customHeight="1">
      <c r="A36" s="1031"/>
      <c r="B36" s="1038">
        <v>10</v>
      </c>
      <c r="C36" s="1560" t="s">
        <v>777</v>
      </c>
      <c r="D36" s="1477"/>
      <c r="E36" s="1477"/>
      <c r="F36" s="1477"/>
      <c r="G36" s="1477"/>
      <c r="H36" s="1478"/>
      <c r="I36" s="1642">
        <f>I33*1.2</f>
        <v>15.767999999999997</v>
      </c>
      <c r="J36" s="1478"/>
      <c r="K36" s="744"/>
    </row>
    <row r="37" spans="1:11" ht="27" customHeight="1">
      <c r="A37" s="1031"/>
      <c r="B37" s="1038">
        <v>11</v>
      </c>
      <c r="C37" s="1560" t="s">
        <v>778</v>
      </c>
      <c r="D37" s="1477"/>
      <c r="E37" s="1477"/>
      <c r="F37" s="1477"/>
      <c r="G37" s="1477"/>
      <c r="H37" s="1478"/>
      <c r="I37" s="1643">
        <f>I33*2</f>
        <v>26.279999999999998</v>
      </c>
      <c r="J37" s="1478"/>
      <c r="K37" s="744"/>
    </row>
    <row r="38" spans="1:11" ht="24" customHeight="1">
      <c r="A38" s="1031"/>
      <c r="B38" s="1038">
        <v>12</v>
      </c>
      <c r="C38" s="1560" t="s">
        <v>779</v>
      </c>
      <c r="D38" s="1477"/>
      <c r="E38" s="1477"/>
      <c r="F38" s="1477"/>
      <c r="G38" s="1477"/>
      <c r="H38" s="1478"/>
      <c r="I38" s="1630">
        <f>I32*2.5*0</f>
        <v>0</v>
      </c>
      <c r="J38" s="1478"/>
      <c r="K38" s="744"/>
    </row>
    <row r="39" spans="1:11" ht="11.25" customHeight="1">
      <c r="A39" s="1031"/>
      <c r="B39" s="1038">
        <v>13</v>
      </c>
      <c r="C39" s="1645" t="s">
        <v>348</v>
      </c>
      <c r="D39" s="1481"/>
      <c r="E39" s="1481"/>
      <c r="F39" s="1481"/>
      <c r="G39" s="1481"/>
      <c r="H39" s="1623"/>
      <c r="I39" s="1644">
        <f>ROUND(I32/6,2)*1.3*0</f>
        <v>0</v>
      </c>
      <c r="J39" s="1623"/>
      <c r="K39" s="744"/>
    </row>
    <row r="40" spans="1:11" ht="27" customHeight="1">
      <c r="A40" s="1031"/>
      <c r="B40" s="746">
        <v>14</v>
      </c>
      <c r="C40" s="1646" t="s">
        <v>349</v>
      </c>
      <c r="D40" s="1647"/>
      <c r="E40" s="1647"/>
      <c r="F40" s="1647"/>
      <c r="G40" s="1647"/>
      <c r="H40" s="1648"/>
      <c r="I40" s="1649">
        <f>'1-ABA-DE-CARREGAMENTO'!F93</f>
        <v>1</v>
      </c>
      <c r="J40" s="1650"/>
      <c r="K40" s="1040"/>
    </row>
    <row r="41" spans="1:11" ht="11.25" customHeight="1">
      <c r="A41" s="1031"/>
      <c r="B41" s="1038">
        <v>15</v>
      </c>
      <c r="C41" s="1651" t="s">
        <v>350</v>
      </c>
      <c r="D41" s="1575"/>
      <c r="E41" s="1575"/>
      <c r="F41" s="1575"/>
      <c r="G41" s="1575"/>
      <c r="H41" s="1608"/>
      <c r="I41" s="1652">
        <f>'1-ABA-DE-CARREGAMENTO'!E42</f>
        <v>1621</v>
      </c>
      <c r="J41" s="1608"/>
      <c r="K41" s="749"/>
    </row>
    <row r="42" spans="1:11" ht="11.25" customHeight="1">
      <c r="A42" s="1031"/>
      <c r="B42" s="1618"/>
      <c r="C42" s="1477"/>
      <c r="D42" s="1477"/>
      <c r="E42" s="1477"/>
      <c r="F42" s="1477"/>
      <c r="G42" s="1477"/>
      <c r="H42" s="1477"/>
      <c r="I42" s="1477"/>
      <c r="J42" s="1478"/>
      <c r="K42" s="459"/>
    </row>
    <row r="43" spans="1:11" ht="28.5" customHeight="1">
      <c r="A43" s="1031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</row>
    <row r="44" spans="1:11" ht="11.25" customHeight="1">
      <c r="A44" s="1031"/>
      <c r="B44" s="1728"/>
      <c r="C44" s="1477"/>
      <c r="D44" s="1477"/>
      <c r="E44" s="1477"/>
      <c r="F44" s="1477"/>
      <c r="G44" s="1477"/>
      <c r="H44" s="1477"/>
      <c r="I44" s="1477"/>
      <c r="J44" s="1478"/>
      <c r="K44" s="1041"/>
    </row>
    <row r="45" spans="1:11" ht="24" customHeight="1">
      <c r="A45" s="1031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</row>
    <row r="46" spans="1:11" ht="20.25" customHeight="1">
      <c r="A46" s="104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753" t="s">
        <v>355</v>
      </c>
      <c r="K46" s="727"/>
    </row>
    <row r="47" spans="1:11" ht="27" customHeight="1">
      <c r="A47" s="1031"/>
      <c r="B47" s="696" t="s">
        <v>312</v>
      </c>
      <c r="C47" s="1577" t="s">
        <v>780</v>
      </c>
      <c r="D47" s="1477"/>
      <c r="E47" s="1477"/>
      <c r="F47" s="1478"/>
      <c r="G47" s="755" t="s">
        <v>52</v>
      </c>
      <c r="H47" s="756">
        <f>'1-ABA-DE-CARREGAMENTO'!F52</f>
        <v>100</v>
      </c>
      <c r="I47" s="755"/>
      <c r="J47" s="758">
        <f>I29*I40</f>
        <v>1095.49</v>
      </c>
      <c r="K47" s="1043"/>
    </row>
    <row r="48" spans="1:11" ht="19.5" customHeight="1">
      <c r="A48" s="1031"/>
      <c r="B48" s="696" t="s">
        <v>314</v>
      </c>
      <c r="C48" s="1577" t="s">
        <v>781</v>
      </c>
      <c r="D48" s="1477"/>
      <c r="E48" s="1477"/>
      <c r="F48" s="1654" t="str">
        <f>'1-ABA-DE-CARREGAMENTO'!F38</f>
        <v>SEM ADICIONAL DE FUNÇÃO</v>
      </c>
      <c r="G48" s="1477"/>
      <c r="H48" s="1478"/>
      <c r="I48" s="994">
        <f>'1-ABA-DE-CARREGAMENTO'!F39</f>
        <v>0</v>
      </c>
      <c r="J48" s="758">
        <f>J47*I48</f>
        <v>0</v>
      </c>
      <c r="K48" s="1043"/>
    </row>
    <row r="49" spans="1:14" ht="25.5" customHeight="1">
      <c r="A49" s="1031"/>
      <c r="B49" s="696" t="s">
        <v>316</v>
      </c>
      <c r="C49" s="1577" t="s">
        <v>782</v>
      </c>
      <c r="D49" s="1477"/>
      <c r="E49" s="1477"/>
      <c r="F49" s="1477"/>
      <c r="G49" s="1477"/>
      <c r="H49" s="1478"/>
      <c r="I49" s="871">
        <f>'1-ABA-DE-CARREGAMENTO'!F44</f>
        <v>0</v>
      </c>
      <c r="J49" s="758">
        <f>ROUND(J47*I49,2)</f>
        <v>0</v>
      </c>
      <c r="K49" s="1043"/>
    </row>
    <row r="50" spans="1:14" ht="27" customHeight="1">
      <c r="A50" s="1031"/>
      <c r="B50" s="696" t="s">
        <v>318</v>
      </c>
      <c r="C50" s="1577" t="s">
        <v>695</v>
      </c>
      <c r="D50" s="1477"/>
      <c r="E50" s="1477"/>
      <c r="F50" s="1477"/>
      <c r="G50" s="1720" t="str">
        <f>'1-ABA-DE-CARREGAMENTO'!F40</f>
        <v>INSALUB S/NORMATIVO</v>
      </c>
      <c r="H50" s="1623"/>
      <c r="I50" s="762">
        <f>'1-ABA-DE-CARREGAMENTO'!F41</f>
        <v>0.2</v>
      </c>
      <c r="J50" s="758">
        <f>ROUND(I50*I29,2)</f>
        <v>219.1</v>
      </c>
      <c r="K50" s="1043"/>
    </row>
    <row r="51" spans="1:14" ht="30.75" hidden="1" customHeight="1" outlineLevel="1">
      <c r="A51" s="1031"/>
      <c r="B51" s="696" t="s">
        <v>360</v>
      </c>
      <c r="C51" s="1729" t="s">
        <v>783</v>
      </c>
      <c r="D51" s="1477"/>
      <c r="E51" s="1477"/>
      <c r="F51" s="807" t="s">
        <v>362</v>
      </c>
      <c r="G51" s="764">
        <v>0</v>
      </c>
      <c r="H51" s="807" t="s">
        <v>363</v>
      </c>
      <c r="I51" s="1044">
        <f>I36</f>
        <v>15.767999999999997</v>
      </c>
      <c r="J51" s="1045">
        <f>G51*I51</f>
        <v>0</v>
      </c>
      <c r="K51" s="1043"/>
    </row>
    <row r="52" spans="1:14" ht="43.5" hidden="1" customHeight="1" outlineLevel="1">
      <c r="A52" s="1031"/>
      <c r="B52" s="696" t="s">
        <v>364</v>
      </c>
      <c r="C52" s="1656" t="s">
        <v>784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1043"/>
    </row>
    <row r="53" spans="1:14" ht="27" hidden="1" customHeight="1" outlineLevel="1">
      <c r="A53" s="1031"/>
      <c r="B53" s="696" t="s">
        <v>366</v>
      </c>
      <c r="C53" s="1656" t="s">
        <v>785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1043"/>
    </row>
    <row r="54" spans="1:14" ht="39" hidden="1" customHeight="1" outlineLevel="1">
      <c r="A54" s="1031"/>
      <c r="B54" s="696" t="s">
        <v>368</v>
      </c>
      <c r="C54" s="1656" t="s">
        <v>786</v>
      </c>
      <c r="D54" s="1477"/>
      <c r="E54" s="1477"/>
      <c r="F54" s="807" t="s">
        <v>370</v>
      </c>
      <c r="G54" s="764">
        <v>0</v>
      </c>
      <c r="H54" s="807" t="s">
        <v>787</v>
      </c>
      <c r="I54" s="1044">
        <f t="shared" ref="I54:I55" si="1">I37</f>
        <v>26.279999999999998</v>
      </c>
      <c r="J54" s="758">
        <f t="shared" ref="J54:J55" si="2">G54*I54</f>
        <v>0</v>
      </c>
      <c r="K54" s="1043"/>
    </row>
    <row r="55" spans="1:14" ht="39" hidden="1" customHeight="1" outlineLevel="1">
      <c r="A55" s="1031"/>
      <c r="B55" s="696" t="s">
        <v>372</v>
      </c>
      <c r="C55" s="1656" t="s">
        <v>788</v>
      </c>
      <c r="D55" s="1477"/>
      <c r="E55" s="1477"/>
      <c r="F55" s="807" t="s">
        <v>374</v>
      </c>
      <c r="G55" s="764">
        <v>0</v>
      </c>
      <c r="H55" s="807" t="s">
        <v>789</v>
      </c>
      <c r="I55" s="1044">
        <f t="shared" si="1"/>
        <v>0</v>
      </c>
      <c r="J55" s="758">
        <f t="shared" si="2"/>
        <v>0</v>
      </c>
      <c r="K55" s="1043"/>
    </row>
    <row r="56" spans="1:14" ht="40.5" customHeight="1" collapsed="1">
      <c r="A56" s="1031"/>
      <c r="B56" s="696" t="s">
        <v>376</v>
      </c>
      <c r="C56" s="1577" t="s">
        <v>790</v>
      </c>
      <c r="D56" s="1477"/>
      <c r="E56" s="1477"/>
      <c r="F56" s="1477"/>
      <c r="G56" s="1477"/>
      <c r="H56" s="1477"/>
      <c r="I56" s="1478"/>
      <c r="J56" s="758">
        <f>ROUND(((J54+J55)/25)*5,2)</f>
        <v>0</v>
      </c>
      <c r="K56" s="1043"/>
    </row>
    <row r="57" spans="1:14" ht="27.75" customHeight="1">
      <c r="A57" s="1031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1046"/>
    </row>
    <row r="58" spans="1:14" ht="27.75" customHeight="1">
      <c r="A58" s="1031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1314.59</v>
      </c>
      <c r="K58" s="1047"/>
    </row>
    <row r="59" spans="1:14" ht="11.25" customHeight="1">
      <c r="A59" s="1031"/>
      <c r="B59" s="773"/>
      <c r="C59" s="1657"/>
      <c r="D59" s="1477"/>
      <c r="E59" s="1477"/>
      <c r="F59" s="1477"/>
      <c r="G59" s="1477"/>
      <c r="H59" s="1477"/>
      <c r="I59" s="1478"/>
      <c r="J59" s="774"/>
      <c r="K59" s="1047"/>
    </row>
    <row r="60" spans="1:14" ht="60.75" customHeight="1">
      <c r="A60" s="1031"/>
      <c r="B60" s="696" t="s">
        <v>368</v>
      </c>
      <c r="C60" s="1577" t="s">
        <v>791</v>
      </c>
      <c r="D60" s="1477"/>
      <c r="E60" s="1477"/>
      <c r="F60" s="1477"/>
      <c r="G60" s="1477"/>
      <c r="H60" s="1477"/>
      <c r="I60" s="1478"/>
      <c r="J60" s="1028">
        <f>ROUND(I34*22*I40*0.5,2)*0</f>
        <v>0</v>
      </c>
      <c r="K60" s="2"/>
      <c r="L60" s="2"/>
      <c r="M60" s="2"/>
      <c r="N60" s="2"/>
    </row>
    <row r="61" spans="1:14" ht="31.5" customHeight="1">
      <c r="A61" s="1031"/>
      <c r="B61" s="1572" t="s">
        <v>792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1047"/>
    </row>
    <row r="62" spans="1:14" ht="11.25" customHeight="1">
      <c r="A62" s="1031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</row>
    <row r="63" spans="1:14" ht="46.5" customHeight="1">
      <c r="A63" s="1031"/>
      <c r="B63" s="1578" t="s">
        <v>793</v>
      </c>
      <c r="C63" s="1477"/>
      <c r="D63" s="1477"/>
      <c r="E63" s="1477"/>
      <c r="F63" s="1477"/>
      <c r="G63" s="1477"/>
      <c r="H63" s="1477"/>
      <c r="I63" s="1478"/>
      <c r="J63" s="775">
        <f>J58+J61</f>
        <v>1314.59</v>
      </c>
      <c r="K63" s="776"/>
    </row>
    <row r="64" spans="1:14" ht="11.25" customHeight="1">
      <c r="A64" s="1031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</row>
    <row r="65" spans="1:11" ht="11.25" customHeight="1">
      <c r="A65" s="1031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</row>
    <row r="66" spans="1:11" ht="11.25" customHeight="1">
      <c r="A66" s="1031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</row>
    <row r="67" spans="1:11" ht="17.25" customHeight="1">
      <c r="A67" s="1031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1048"/>
    </row>
    <row r="68" spans="1:11" ht="16.5" customHeight="1">
      <c r="A68" s="1031"/>
      <c r="B68" s="1580" t="s">
        <v>794</v>
      </c>
      <c r="C68" s="1477"/>
      <c r="D68" s="1477"/>
      <c r="E68" s="1477"/>
      <c r="F68" s="1477"/>
      <c r="G68" s="1477"/>
      <c r="H68" s="1477"/>
      <c r="I68" s="1477"/>
      <c r="J68" s="1478"/>
      <c r="K68" s="931"/>
    </row>
    <row r="69" spans="1:11" ht="17.25" customHeight="1">
      <c r="A69" s="1031"/>
      <c r="B69" s="781" t="s">
        <v>388</v>
      </c>
      <c r="C69" s="1659" t="s">
        <v>795</v>
      </c>
      <c r="D69" s="1477"/>
      <c r="E69" s="1477"/>
      <c r="F69" s="1477"/>
      <c r="G69" s="1477"/>
      <c r="H69" s="1477"/>
      <c r="I69" s="1478"/>
      <c r="J69" s="782" t="s">
        <v>390</v>
      </c>
      <c r="K69" s="783"/>
    </row>
    <row r="70" spans="1:11" ht="22.5" customHeight="1">
      <c r="A70" s="1031"/>
      <c r="B70" s="781" t="s">
        <v>312</v>
      </c>
      <c r="C70" s="1656" t="s">
        <v>796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109.51</v>
      </c>
      <c r="K70" s="786"/>
    </row>
    <row r="71" spans="1:11" ht="56.25" customHeight="1">
      <c r="A71" s="1031"/>
      <c r="B71" s="781" t="s">
        <v>314</v>
      </c>
      <c r="C71" s="1582" t="s">
        <v>797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39.770000000000003</v>
      </c>
      <c r="K71" s="786"/>
    </row>
    <row r="72" spans="1:11" ht="11.25" customHeight="1">
      <c r="A72" s="1031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149.28</v>
      </c>
      <c r="K72" s="1049"/>
    </row>
    <row r="73" spans="1:11" ht="11.25" customHeight="1">
      <c r="A73" s="1031"/>
      <c r="B73" s="1661"/>
      <c r="C73" s="1477"/>
      <c r="D73" s="1477"/>
      <c r="E73" s="1477"/>
      <c r="F73" s="1477"/>
      <c r="G73" s="1477"/>
      <c r="H73" s="1477"/>
      <c r="I73" s="1477"/>
      <c r="J73" s="1478"/>
      <c r="K73" s="1050"/>
    </row>
    <row r="74" spans="1:11" ht="11.25" customHeight="1">
      <c r="A74" s="1031"/>
      <c r="B74" s="1653" t="s">
        <v>798</v>
      </c>
      <c r="C74" s="1477"/>
      <c r="D74" s="1477"/>
      <c r="E74" s="1477"/>
      <c r="F74" s="1477"/>
      <c r="G74" s="1477"/>
      <c r="H74" s="1477"/>
      <c r="I74" s="1477"/>
      <c r="J74" s="1478"/>
      <c r="K74" s="750"/>
    </row>
    <row r="75" spans="1:11" ht="11.25" customHeight="1">
      <c r="A75" s="1031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</row>
    <row r="76" spans="1:11" ht="29.25" customHeight="1">
      <c r="A76" s="1031"/>
      <c r="B76" s="1663" t="s">
        <v>799</v>
      </c>
      <c r="C76" s="1477"/>
      <c r="D76" s="1477"/>
      <c r="E76" s="1477"/>
      <c r="F76" s="1477"/>
      <c r="G76" s="1477"/>
      <c r="H76" s="1477"/>
      <c r="I76" s="1477"/>
      <c r="J76" s="1478"/>
      <c r="K76" s="780"/>
    </row>
    <row r="77" spans="1:11" ht="27" customHeight="1">
      <c r="A77" s="1031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</row>
    <row r="78" spans="1:11" ht="18" customHeight="1">
      <c r="A78" s="1031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292.77</v>
      </c>
      <c r="K78" s="1049"/>
    </row>
    <row r="79" spans="1:11" ht="18" customHeight="1">
      <c r="A79" s="1031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36.6</v>
      </c>
      <c r="K79" s="1049"/>
    </row>
    <row r="80" spans="1:11" ht="33" customHeight="1">
      <c r="A80" s="1031"/>
      <c r="B80" s="794" t="s">
        <v>316</v>
      </c>
      <c r="C80" s="1577" t="s">
        <v>800</v>
      </c>
      <c r="D80" s="1478"/>
      <c r="E80" s="1051" t="s">
        <v>402</v>
      </c>
      <c r="F80" s="1052">
        <f>'1-ABA-DE-CARREGAMENTO'!F57</f>
        <v>0.03</v>
      </c>
      <c r="G80" s="1051" t="s">
        <v>403</v>
      </c>
      <c r="H80" s="1053">
        <f>'1-ABA-DE-CARREGAMENTO'!F58</f>
        <v>1</v>
      </c>
      <c r="I80" s="799">
        <f>ROUND((F80*H80),6)</f>
        <v>0.03</v>
      </c>
      <c r="J80" s="796">
        <f>ROUND((J58+J72)*I80,2)</f>
        <v>43.92</v>
      </c>
      <c r="K80" s="1049"/>
    </row>
    <row r="81" spans="1:11" ht="18.75" customHeight="1">
      <c r="A81" s="1031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21.96</v>
      </c>
      <c r="K81" s="1049"/>
    </row>
    <row r="82" spans="1:11" ht="18.75" customHeight="1">
      <c r="A82" s="1031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14.64</v>
      </c>
      <c r="K82" s="1049"/>
    </row>
    <row r="83" spans="1:11" ht="18.75" customHeight="1">
      <c r="A83" s="1031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8.7799999999999994</v>
      </c>
      <c r="K83" s="1049"/>
    </row>
    <row r="84" spans="1:11" ht="18.75" customHeight="1">
      <c r="A84" s="1031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2.93</v>
      </c>
      <c r="K84" s="1049"/>
    </row>
    <row r="85" spans="1:11" ht="18.75" customHeight="1">
      <c r="A85" s="1031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117.11</v>
      </c>
      <c r="K85" s="1049"/>
    </row>
    <row r="86" spans="1:11" ht="11.25" customHeight="1">
      <c r="A86" s="1031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3">SUM(I78:I85)</f>
        <v>0.36800000000000005</v>
      </c>
      <c r="J86" s="788">
        <f t="shared" si="3"/>
        <v>538.70999999999992</v>
      </c>
      <c r="K86" s="1049"/>
    </row>
    <row r="87" spans="1:11" ht="11.25" customHeight="1">
      <c r="A87" s="1031"/>
      <c r="B87" s="801"/>
      <c r="C87" s="802"/>
      <c r="D87" s="802"/>
      <c r="E87" s="802"/>
      <c r="F87" s="802"/>
      <c r="G87" s="802"/>
      <c r="H87" s="802"/>
      <c r="I87" s="803"/>
      <c r="J87" s="804"/>
      <c r="K87" s="1049"/>
    </row>
    <row r="88" spans="1:11" ht="11.25" customHeight="1">
      <c r="A88" s="1031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</row>
    <row r="89" spans="1:11" ht="11.25" customHeight="1">
      <c r="A89" s="1031"/>
      <c r="B89" s="1618"/>
      <c r="C89" s="1477"/>
      <c r="D89" s="1477"/>
      <c r="E89" s="1477"/>
      <c r="F89" s="1477"/>
      <c r="G89" s="1477"/>
      <c r="H89" s="1477"/>
      <c r="I89" s="1477"/>
      <c r="J89" s="1478"/>
      <c r="K89" s="459"/>
    </row>
    <row r="90" spans="1:11" ht="18" customHeight="1">
      <c r="A90" s="1031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931"/>
    </row>
    <row r="91" spans="1:11" ht="11.25" customHeight="1">
      <c r="A91" s="1031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</row>
    <row r="92" spans="1:11" ht="12.75" customHeight="1">
      <c r="A92" s="1031"/>
      <c r="B92" s="743" t="s">
        <v>312</v>
      </c>
      <c r="C92" s="1577" t="e">
        <f ca="1">IF(F95="o transporte é seletivo", "AUXILIO TRANSPORTE Cálculo do valor: [(n passag dia × vlr passagem × n dias mês ) – (0,06xSB)]", "Transporte Cálculo do valor: [(n passag dia × vlr VT × n dias mês ) – (0,06xSB)]")</f>
        <v>#NAME?</v>
      </c>
      <c r="D92" s="1477"/>
      <c r="E92" s="1477"/>
      <c r="F92" s="1477"/>
      <c r="G92" s="1477"/>
      <c r="H92" s="1478"/>
      <c r="I92" s="807">
        <f>J47</f>
        <v>1095.49</v>
      </c>
      <c r="J92" s="808">
        <f>IF(ROUND((I93*I95*I94)-(J47*I96),2)&lt;0,0,ROUND((I93*I95*I94)-(J47*I96),2))</f>
        <v>213.89</v>
      </c>
      <c r="K92" s="1049"/>
    </row>
    <row r="93" spans="1:11" ht="27" customHeight="1">
      <c r="A93" s="1031"/>
      <c r="B93" s="743" t="s">
        <v>314</v>
      </c>
      <c r="C93" s="1577" t="s">
        <v>801</v>
      </c>
      <c r="D93" s="1477"/>
      <c r="E93" s="1477"/>
      <c r="F93" s="1477"/>
      <c r="G93" s="1477"/>
      <c r="H93" s="1477"/>
      <c r="I93" s="809">
        <f>'1-ABA-DE-CARREGAMENTO'!F72</f>
        <v>6.82</v>
      </c>
      <c r="J93" s="810" t="s">
        <v>325</v>
      </c>
      <c r="K93" s="1046"/>
    </row>
    <row r="94" spans="1:11" ht="18" customHeight="1">
      <c r="A94" s="1031"/>
      <c r="B94" s="743" t="s">
        <v>316</v>
      </c>
      <c r="C94" s="1577" t="s">
        <v>802</v>
      </c>
      <c r="D94" s="1477"/>
      <c r="E94" s="1477"/>
      <c r="F94" s="1477"/>
      <c r="G94" s="1477"/>
      <c r="H94" s="1478"/>
      <c r="I94" s="811">
        <f>'1-ABA-DE-CARREGAMENTO'!F73</f>
        <v>2</v>
      </c>
      <c r="J94" s="810" t="s">
        <v>325</v>
      </c>
      <c r="K94" s="1046"/>
    </row>
    <row r="95" spans="1:11" ht="18" customHeight="1">
      <c r="A95" s="1031"/>
      <c r="B95" s="743" t="s">
        <v>318</v>
      </c>
      <c r="C95" s="1665" t="s">
        <v>415</v>
      </c>
      <c r="D95" s="1477"/>
      <c r="E95" s="1477"/>
      <c r="F95" s="1666" t="e">
        <f ca="1">getNota('1-ABA-DE-CARREGAMENTO'!C14)</f>
        <v>#NAME?</v>
      </c>
      <c r="G95" s="1477"/>
      <c r="H95" s="812">
        <f>I93*I94*I95</f>
        <v>279.62</v>
      </c>
      <c r="I95" s="813">
        <f>'1-ABA-DE-CARREGAMENTO'!F74</f>
        <v>20.5</v>
      </c>
      <c r="J95" s="810" t="s">
        <v>325</v>
      </c>
      <c r="K95" s="1046"/>
    </row>
    <row r="96" spans="1:11" ht="24" customHeight="1">
      <c r="A96" s="1031"/>
      <c r="B96" s="743" t="s">
        <v>360</v>
      </c>
      <c r="C96" s="1665" t="s">
        <v>803</v>
      </c>
      <c r="D96" s="1477"/>
      <c r="E96" s="1477"/>
      <c r="F96" s="1477"/>
      <c r="G96" s="1477"/>
      <c r="H96" s="812">
        <f>I96*J47</f>
        <v>65.729399999999998</v>
      </c>
      <c r="I96" s="814">
        <f>'1-ABA-DE-CARREGAMENTO'!F75</f>
        <v>0.06</v>
      </c>
      <c r="J96" s="815" t="s">
        <v>325</v>
      </c>
      <c r="K96" s="1046"/>
    </row>
    <row r="97" spans="1:11" ht="14.25" customHeight="1">
      <c r="A97" s="1031"/>
      <c r="B97" s="743" t="s">
        <v>364</v>
      </c>
      <c r="C97" s="1577" t="s">
        <v>804</v>
      </c>
      <c r="D97" s="1477"/>
      <c r="E97" s="1477"/>
      <c r="F97" s="1477"/>
      <c r="G97" s="1477"/>
      <c r="H97" s="1477"/>
      <c r="I97" s="1477"/>
      <c r="J97" s="808">
        <f>ROUND(I98*I99,2)-ROUND((I98*I99)*I100,2)</f>
        <v>0</v>
      </c>
      <c r="K97" s="1049"/>
    </row>
    <row r="98" spans="1:11" ht="18" customHeight="1">
      <c r="A98" s="1031"/>
      <c r="B98" s="743" t="s">
        <v>366</v>
      </c>
      <c r="C98" s="1577" t="s">
        <v>805</v>
      </c>
      <c r="D98" s="1477"/>
      <c r="E98" s="1477"/>
      <c r="F98" s="1477"/>
      <c r="G98" s="1477"/>
      <c r="H98" s="1477"/>
      <c r="I98" s="816">
        <f>IF('1-ABA-DE-CARREGAMENTO'!F60&gt;0,'1-ABA-DE-CARREGAMENTO'!F60,'1-ABA-DE-CARREGAMENTO'!F63)</f>
        <v>0</v>
      </c>
      <c r="J98" s="817"/>
      <c r="K98" s="1046"/>
    </row>
    <row r="99" spans="1:11" ht="24.75" customHeight="1">
      <c r="A99" s="1031"/>
      <c r="B99" s="743" t="s">
        <v>368</v>
      </c>
      <c r="C99" s="1665" t="s">
        <v>806</v>
      </c>
      <c r="D99" s="1477"/>
      <c r="E99" s="1477"/>
      <c r="F99" s="1477"/>
      <c r="G99" s="1477"/>
      <c r="H99" s="812">
        <f>I98*I99</f>
        <v>0</v>
      </c>
      <c r="I99" s="818">
        <f>'1-ABA-DE-CARREGAMENTO'!F62</f>
        <v>20.5</v>
      </c>
      <c r="J99" s="817"/>
      <c r="K99" s="1046"/>
    </row>
    <row r="100" spans="1:11" ht="27.75" customHeight="1">
      <c r="A100" s="1031"/>
      <c r="B100" s="794" t="s">
        <v>372</v>
      </c>
      <c r="C100" s="1665" t="s">
        <v>807</v>
      </c>
      <c r="D100" s="1477"/>
      <c r="E100" s="1477"/>
      <c r="F100" s="1477"/>
      <c r="G100" s="1477"/>
      <c r="H100" s="812">
        <f>(I98*I99)*I100</f>
        <v>0</v>
      </c>
      <c r="I100" s="814">
        <f>'1-ABA-DE-CARREGAMENTO'!F61</f>
        <v>0.2</v>
      </c>
      <c r="J100" s="819"/>
      <c r="K100" s="1046"/>
    </row>
    <row r="101" spans="1:11" ht="13.5" customHeight="1" outlineLevel="1">
      <c r="A101" s="1031"/>
      <c r="B101" s="743" t="s">
        <v>376</v>
      </c>
      <c r="C101" s="1628" t="s">
        <v>421</v>
      </c>
      <c r="D101" s="1575"/>
      <c r="E101" s="1575"/>
      <c r="F101" s="1575"/>
      <c r="G101" s="1575"/>
      <c r="H101" s="1575"/>
      <c r="I101" s="1575"/>
      <c r="J101" s="820">
        <f>'1-ABA-DE-CARREGAMENTO'!F64</f>
        <v>0</v>
      </c>
      <c r="K101" s="1049"/>
    </row>
    <row r="102" spans="1:11" ht="39" customHeight="1" outlineLevel="1">
      <c r="A102" s="1031"/>
      <c r="B102" s="743" t="s">
        <v>379</v>
      </c>
      <c r="C102" s="1577" t="s">
        <v>808</v>
      </c>
      <c r="D102" s="1477"/>
      <c r="E102" s="1477"/>
      <c r="F102" s="1477"/>
      <c r="G102" s="1477"/>
      <c r="H102" s="1477"/>
      <c r="I102" s="1477"/>
      <c r="J102" s="796">
        <f>'1-ABA-DE-CARREGAMENTO'!F77</f>
        <v>0</v>
      </c>
      <c r="K102" s="1049"/>
    </row>
    <row r="103" spans="1:11" ht="39" customHeight="1" outlineLevel="1">
      <c r="A103" s="1031"/>
      <c r="B103" s="743" t="s">
        <v>423</v>
      </c>
      <c r="C103" s="1577" t="s">
        <v>809</v>
      </c>
      <c r="D103" s="1477"/>
      <c r="E103" s="1477"/>
      <c r="F103" s="1477"/>
      <c r="G103" s="1477"/>
      <c r="H103" s="1477"/>
      <c r="I103" s="1478"/>
      <c r="J103" s="796">
        <f>'1-ABA-DE-CARREGAMENTO'!F78</f>
        <v>0</v>
      </c>
      <c r="K103" s="1049"/>
    </row>
    <row r="104" spans="1:11" ht="13.5" customHeight="1" outlineLevel="1">
      <c r="A104" s="1031"/>
      <c r="B104" s="743" t="s">
        <v>425</v>
      </c>
      <c r="C104" s="1577" t="s">
        <v>426</v>
      </c>
      <c r="D104" s="1477"/>
      <c r="E104" s="1477"/>
      <c r="F104" s="1477"/>
      <c r="G104" s="1477"/>
      <c r="H104" s="1477"/>
      <c r="I104" s="1478"/>
      <c r="J104" s="796">
        <f>'1-ABA-DE-CARREGAMENTO'!F76</f>
        <v>0</v>
      </c>
      <c r="K104" s="1049"/>
    </row>
    <row r="105" spans="1:11" ht="16.5">
      <c r="A105" s="1031"/>
      <c r="B105" s="821" t="s">
        <v>53</v>
      </c>
      <c r="C105" s="1715" t="s">
        <v>427</v>
      </c>
      <c r="D105" s="1477"/>
      <c r="E105" s="1521"/>
      <c r="F105" s="1668" t="s">
        <v>428</v>
      </c>
      <c r="G105" s="1477"/>
      <c r="H105" s="1521"/>
      <c r="I105" s="998">
        <v>526.64</v>
      </c>
      <c r="J105" s="999">
        <f>I105*0.2*I17</f>
        <v>0</v>
      </c>
      <c r="K105" s="789"/>
    </row>
    <row r="106" spans="1:11" ht="21" customHeight="1">
      <c r="A106" s="1031"/>
      <c r="B106" s="823"/>
      <c r="C106" s="1716" t="s">
        <v>429</v>
      </c>
      <c r="D106" s="1477"/>
      <c r="E106" s="1477"/>
      <c r="F106" s="1477"/>
      <c r="G106" s="1477"/>
      <c r="H106" s="1477"/>
      <c r="I106" s="1478"/>
      <c r="J106" s="1000">
        <f>SUM(J92:J105)</f>
        <v>213.89</v>
      </c>
      <c r="K106" s="1049"/>
    </row>
    <row r="107" spans="1:11" ht="11.25" customHeight="1">
      <c r="A107" s="1031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459"/>
    </row>
    <row r="108" spans="1:11" ht="11.25" customHeight="1">
      <c r="A108" s="1031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</row>
    <row r="109" spans="1:11" ht="11.25" customHeight="1">
      <c r="A109" s="1031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</row>
    <row r="110" spans="1:11" ht="17.25" customHeight="1">
      <c r="A110" s="1031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</row>
    <row r="111" spans="1:11" ht="11.25" customHeight="1">
      <c r="A111" s="1031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793" t="s">
        <v>390</v>
      </c>
      <c r="K111" s="783"/>
    </row>
    <row r="112" spans="1:11" ht="24.75" customHeight="1">
      <c r="A112" s="1031"/>
      <c r="B112" s="733" t="s">
        <v>388</v>
      </c>
      <c r="C112" s="1656" t="s">
        <v>810</v>
      </c>
      <c r="D112" s="1477"/>
      <c r="E112" s="1477"/>
      <c r="F112" s="1477"/>
      <c r="G112" s="1477"/>
      <c r="H112" s="1477"/>
      <c r="I112" s="1478"/>
      <c r="J112" s="824">
        <f>J72</f>
        <v>149.28</v>
      </c>
      <c r="K112" s="825"/>
    </row>
    <row r="113" spans="1:11" ht="14.25" customHeight="1">
      <c r="A113" s="1031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538.70999999999992</v>
      </c>
      <c r="K113" s="825"/>
    </row>
    <row r="114" spans="1:11" ht="11.25" customHeight="1">
      <c r="A114" s="1031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213.89</v>
      </c>
      <c r="K114" s="825"/>
    </row>
    <row r="115" spans="1:11" ht="11.25" customHeight="1">
      <c r="A115" s="1031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901.87999999999988</v>
      </c>
      <c r="K115" s="825"/>
    </row>
    <row r="116" spans="1:11" ht="11.25" customHeight="1">
      <c r="A116" s="1031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</row>
    <row r="117" spans="1:11" ht="21.75" customHeight="1">
      <c r="A117" s="1031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1054"/>
    </row>
    <row r="118" spans="1:11" ht="15.75" customHeight="1">
      <c r="A118" s="1031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805" t="s">
        <v>390</v>
      </c>
      <c r="K118" s="1055"/>
    </row>
    <row r="119" spans="1:11" ht="47.25" customHeight="1">
      <c r="A119" s="1031"/>
      <c r="B119" s="743" t="s">
        <v>312</v>
      </c>
      <c r="C119" s="1577" t="s">
        <v>811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6.56</v>
      </c>
      <c r="K119" s="1049"/>
    </row>
    <row r="120" spans="1:11" ht="14.25" customHeight="1">
      <c r="A120" s="1031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0.52</v>
      </c>
      <c r="K120" s="1049"/>
    </row>
    <row r="121" spans="1:11" ht="85.5" customHeight="1">
      <c r="A121" s="1031"/>
      <c r="B121" s="743" t="s">
        <v>316</v>
      </c>
      <c r="C121" s="1672" t="s">
        <v>812</v>
      </c>
      <c r="D121" s="1477"/>
      <c r="E121" s="1477"/>
      <c r="F121" s="1477"/>
      <c r="G121" s="1477"/>
      <c r="H121" s="1477"/>
      <c r="I121" s="830" t="str">
        <f>IF(J121&lt;J58*1.94%,"OK","VERIFIQUE")</f>
        <v>OK</v>
      </c>
      <c r="J121" s="796">
        <f>ROUND(((7/30)/$I$11)*$J$58*1,2)</f>
        <v>10.220000000000001</v>
      </c>
      <c r="K121" s="1049"/>
    </row>
    <row r="122" spans="1:11" ht="11.25" customHeight="1">
      <c r="A122" s="1031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3.76</v>
      </c>
      <c r="K122" s="1049"/>
    </row>
    <row r="123" spans="1:11" ht="41.25" customHeight="1">
      <c r="A123" s="1031"/>
      <c r="B123" s="743" t="s">
        <v>360</v>
      </c>
      <c r="C123" s="1577" t="s">
        <v>813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52.58</v>
      </c>
      <c r="K123" s="1049"/>
    </row>
    <row r="124" spans="1:11" ht="11.25" customHeight="1">
      <c r="A124" s="1031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73.64</v>
      </c>
      <c r="K124" s="1049"/>
    </row>
    <row r="125" spans="1:11" ht="11.25" customHeight="1">
      <c r="A125" s="1031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1056"/>
    </row>
    <row r="126" spans="1:11" ht="15" customHeight="1">
      <c r="A126" s="1031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</row>
    <row r="127" spans="1:11" ht="36.75" customHeight="1">
      <c r="A127" s="1031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</row>
    <row r="128" spans="1:11" ht="56.25" customHeight="1">
      <c r="A128" s="1031"/>
      <c r="B128" s="1663" t="s">
        <v>814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</row>
    <row r="129" spans="1:13" ht="33.75" customHeight="1">
      <c r="A129" s="1031"/>
      <c r="B129" s="832" t="s">
        <v>445</v>
      </c>
      <c r="C129" s="833">
        <f>J58</f>
        <v>1314.59</v>
      </c>
      <c r="D129" s="834" t="s">
        <v>446</v>
      </c>
      <c r="E129" s="1002" t="s">
        <v>815</v>
      </c>
      <c r="F129" s="1003">
        <f>J115-J92-J97-J105</f>
        <v>687.9899999999999</v>
      </c>
      <c r="G129" s="834" t="s">
        <v>446</v>
      </c>
      <c r="H129" s="832" t="s">
        <v>448</v>
      </c>
      <c r="I129" s="833">
        <f>J124</f>
        <v>73.64</v>
      </c>
      <c r="J129" s="835">
        <f>C129+F129+I129</f>
        <v>2076.2199999999998</v>
      </c>
      <c r="K129" s="836"/>
    </row>
    <row r="130" spans="1:13" ht="11.25" customHeight="1">
      <c r="A130" s="1031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</row>
    <row r="131" spans="1:13" ht="16.5" customHeight="1">
      <c r="A131" s="1031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</row>
    <row r="132" spans="1:13" ht="23.25" customHeight="1">
      <c r="A132" s="1031"/>
      <c r="B132" s="1057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57" t="s">
        <v>390</v>
      </c>
      <c r="K132" s="1058"/>
    </row>
    <row r="133" spans="1:13" ht="36" customHeight="1">
      <c r="A133" s="1031"/>
      <c r="B133" s="743" t="s">
        <v>312</v>
      </c>
      <c r="C133" s="1656" t="s">
        <v>816</v>
      </c>
      <c r="D133" s="1477"/>
      <c r="E133" s="1477"/>
      <c r="F133" s="1477"/>
      <c r="G133" s="1477"/>
      <c r="H133" s="840">
        <v>9.0749999999999997E-2</v>
      </c>
      <c r="I133" s="1004">
        <f>I86</f>
        <v>0.36800000000000005</v>
      </c>
      <c r="J133" s="796">
        <f>IF('1-ABA-DE-CARREGAMENTO'!F81="S",(ROUND(H133*J58,2)*(1+I133)),IF('1-ABA-DE-CARREGAMENTO'!F81="N",0,"INFORME S ou N"))</f>
        <v>0</v>
      </c>
      <c r="K133" s="1049"/>
    </row>
    <row r="134" spans="1:13" ht="36" customHeight="1">
      <c r="A134" s="1031"/>
      <c r="B134" s="743" t="s">
        <v>314</v>
      </c>
      <c r="C134" s="1577" t="s">
        <v>817</v>
      </c>
      <c r="D134" s="1477"/>
      <c r="E134" s="1477"/>
      <c r="F134" s="1477"/>
      <c r="G134" s="1477"/>
      <c r="H134" s="1477"/>
      <c r="I134" s="1478"/>
      <c r="J134" s="796">
        <f>ROUND((1/30)/12*(J129),2)</f>
        <v>5.77</v>
      </c>
      <c r="K134" s="1049"/>
    </row>
    <row r="135" spans="1:13" ht="36" customHeight="1">
      <c r="A135" s="1031"/>
      <c r="B135" s="743" t="s">
        <v>316</v>
      </c>
      <c r="C135" s="1577" t="s">
        <v>818</v>
      </c>
      <c r="D135" s="1477"/>
      <c r="E135" s="1477"/>
      <c r="F135" s="1477"/>
      <c r="G135" s="1477"/>
      <c r="H135" s="1477"/>
      <c r="I135" s="1478"/>
      <c r="J135" s="796">
        <f>ROUND((5/30)/12*0.015*(J129),2)</f>
        <v>0.43</v>
      </c>
      <c r="K135" s="1049"/>
    </row>
    <row r="136" spans="1:13" ht="36" customHeight="1">
      <c r="A136" s="1031"/>
      <c r="B136" s="743" t="s">
        <v>318</v>
      </c>
      <c r="C136" s="1577" t="s">
        <v>819</v>
      </c>
      <c r="D136" s="1477"/>
      <c r="E136" s="1477"/>
      <c r="F136" s="1477"/>
      <c r="G136" s="1477"/>
      <c r="H136" s="1477"/>
      <c r="I136" s="1478"/>
      <c r="J136" s="796">
        <f>ROUND(((15/30)/12)*0.0078*(J129),2)</f>
        <v>0.67</v>
      </c>
      <c r="K136" s="1049"/>
      <c r="M136" s="796"/>
    </row>
    <row r="137" spans="1:13" ht="36" customHeight="1">
      <c r="A137" s="1031"/>
      <c r="B137" s="843" t="s">
        <v>360</v>
      </c>
      <c r="C137" s="1676" t="s">
        <v>820</v>
      </c>
      <c r="D137" s="1477"/>
      <c r="E137" s="1477"/>
      <c r="F137" s="1477"/>
      <c r="G137" s="1477"/>
      <c r="H137" s="1477"/>
      <c r="I137" s="1478"/>
      <c r="J137" s="844">
        <f>ROUND(((((C129+C129/3)+(I86)*(C129+C129/3))*(4/12))/12)*0.02,2) + ((J106-J92-J97-J105+J124)*4/12)*0.02</f>
        <v>1.8209333333333335</v>
      </c>
      <c r="K137" s="1059"/>
    </row>
    <row r="138" spans="1:13" ht="65.25" customHeight="1">
      <c r="A138" s="1031"/>
      <c r="B138" s="743" t="s">
        <v>364</v>
      </c>
      <c r="C138" s="1577" t="s">
        <v>821</v>
      </c>
      <c r="D138" s="1477"/>
      <c r="E138" s="1477"/>
      <c r="F138" s="1477"/>
      <c r="G138" s="1477"/>
      <c r="H138" s="1477"/>
      <c r="I138" s="1478"/>
      <c r="J138" s="796">
        <f>ROUND(((3/30)/12)*(J129),2)</f>
        <v>17.3</v>
      </c>
      <c r="K138" s="1049"/>
    </row>
    <row r="139" spans="1:13" ht="15" customHeight="1">
      <c r="A139" s="1031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25.990933333333334</v>
      </c>
      <c r="K139" s="1049"/>
    </row>
    <row r="140" spans="1:13" ht="11.25" customHeight="1">
      <c r="A140" s="1031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1056"/>
    </row>
    <row r="141" spans="1:13" ht="20.25" customHeight="1">
      <c r="A141" s="1031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931"/>
    </row>
    <row r="142" spans="1:13" ht="11.25" customHeight="1">
      <c r="A142" s="1031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1060"/>
    </row>
    <row r="143" spans="1:13" ht="15" customHeight="1">
      <c r="A143" s="1031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1061"/>
    </row>
    <row r="144" spans="1:13" ht="11.25" customHeight="1">
      <c r="A144" s="1031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1061"/>
    </row>
    <row r="145" spans="1:11" ht="11.25" customHeight="1">
      <c r="A145" s="1031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1062"/>
    </row>
    <row r="146" spans="1:11" ht="33.75" customHeight="1">
      <c r="A146" s="1031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1048"/>
    </row>
    <row r="147" spans="1:11" ht="17.25" customHeight="1">
      <c r="A147" s="1031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1060"/>
    </row>
    <row r="148" spans="1:11" ht="17.25" customHeight="1">
      <c r="A148" s="1031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25.990933333333334</v>
      </c>
      <c r="K148" s="1061"/>
    </row>
    <row r="149" spans="1:11" ht="17.25" customHeight="1">
      <c r="A149" s="1031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1061"/>
    </row>
    <row r="150" spans="1:11" ht="17.25" customHeight="1">
      <c r="A150" s="1031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25.990933333333334</v>
      </c>
      <c r="K150" s="1061"/>
    </row>
    <row r="151" spans="1:11" ht="11.25" customHeight="1">
      <c r="A151" s="1031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1062"/>
    </row>
    <row r="152" spans="1:11" ht="21.75" customHeight="1">
      <c r="A152" s="1031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</row>
    <row r="153" spans="1:11" ht="18" customHeight="1">
      <c r="A153" s="1031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805" t="s">
        <v>390</v>
      </c>
      <c r="K153" s="1055"/>
    </row>
    <row r="154" spans="1:11" ht="12.75" customHeight="1">
      <c r="A154" s="1031"/>
      <c r="B154" s="743" t="s">
        <v>312</v>
      </c>
      <c r="C154" s="1577" t="s">
        <v>296</v>
      </c>
      <c r="D154" s="1477"/>
      <c r="E154" s="1477"/>
      <c r="F154" s="1477"/>
      <c r="G154" s="1477"/>
      <c r="H154" s="1477"/>
      <c r="I154" s="1478"/>
      <c r="J154" s="853">
        <f>'Uniformes - EPIs_TODOS'!I9</f>
        <v>1.7210000000000001</v>
      </c>
      <c r="K154" s="1049"/>
    </row>
    <row r="155" spans="1:11" ht="12.75" customHeight="1">
      <c r="A155" s="1031"/>
      <c r="B155" s="743" t="s">
        <v>314</v>
      </c>
      <c r="C155" s="1577" t="s">
        <v>639</v>
      </c>
      <c r="D155" s="1477"/>
      <c r="E155" s="1477"/>
      <c r="F155" s="1477"/>
      <c r="G155" s="1477"/>
      <c r="H155" s="1477"/>
      <c r="I155" s="1478"/>
      <c r="J155" s="881">
        <v>0</v>
      </c>
      <c r="K155" s="789"/>
    </row>
    <row r="156" spans="1:11" ht="12.75" customHeight="1">
      <c r="A156" s="1031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81" t="s">
        <v>640</v>
      </c>
      <c r="K156" s="789"/>
    </row>
    <row r="157" spans="1:11" ht="11.25" customHeight="1">
      <c r="A157" s="1031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1.72</v>
      </c>
      <c r="K157" s="789"/>
    </row>
    <row r="158" spans="1:11" ht="11.25" customHeight="1">
      <c r="A158" s="1031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1063"/>
    </row>
    <row r="159" spans="1:11" ht="11.25" customHeight="1">
      <c r="A159" s="1031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52"/>
    </row>
    <row r="160" spans="1:11" ht="11.25" customHeight="1">
      <c r="A160" s="1031"/>
      <c r="B160" s="859"/>
      <c r="C160" s="860"/>
      <c r="D160" s="860"/>
      <c r="E160" s="860"/>
      <c r="F160" s="860"/>
      <c r="G160" s="860"/>
      <c r="H160" s="860"/>
      <c r="I160" s="860"/>
      <c r="J160" s="861"/>
      <c r="K160" s="315"/>
    </row>
    <row r="161" spans="1:11" ht="28.5" customHeight="1">
      <c r="A161" s="1031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1054"/>
    </row>
    <row r="162" spans="1:11" ht="21.75" customHeight="1">
      <c r="A162" s="1031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</row>
    <row r="163" spans="1:11" ht="38.25" customHeight="1">
      <c r="A163" s="1031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1009">
        <f>SUM(J63+J115+J124+J150+J157)</f>
        <v>2317.820933333333</v>
      </c>
      <c r="K163" s="1064"/>
    </row>
    <row r="164" spans="1:11" ht="24" customHeight="1">
      <c r="A164" s="1031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'1-ABA-DE-CARREGAMENTO'!F85</f>
        <v>0.06</v>
      </c>
      <c r="J164" s="1010">
        <f>ROUND(I164*(J163),2)</f>
        <v>139.07</v>
      </c>
      <c r="K164" s="1049"/>
    </row>
    <row r="165" spans="1:11" ht="47.25" customHeight="1">
      <c r="A165" s="1031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1009">
        <f>SUM(J63+J115+J124+J150+J157+J164)</f>
        <v>2456.8909333333331</v>
      </c>
      <c r="K165" s="1064"/>
    </row>
    <row r="166" spans="1:11" ht="21.75" customHeight="1">
      <c r="A166" s="1031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'1-ABA-DE-CARREGAMENTO'!F86</f>
        <v>0.06</v>
      </c>
      <c r="J166" s="1010">
        <f>ROUND(I166*J165,2)</f>
        <v>147.41</v>
      </c>
      <c r="K166" s="1049"/>
    </row>
    <row r="167" spans="1:11" ht="54" customHeight="1">
      <c r="A167" s="1031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1009">
        <f>SUM(J163+J164+J166)</f>
        <v>2604.300933333333</v>
      </c>
      <c r="K167" s="1064"/>
    </row>
    <row r="168" spans="1:11" ht="20.25" customHeight="1">
      <c r="A168" s="1031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1011" t="s">
        <v>325</v>
      </c>
      <c r="K168" s="1046"/>
    </row>
    <row r="169" spans="1:11" ht="19.5" customHeight="1">
      <c r="A169" s="1031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1011" t="s">
        <v>325</v>
      </c>
      <c r="K169" s="1046"/>
    </row>
    <row r="170" spans="1:11" ht="19.5" customHeight="1">
      <c r="A170" s="1031"/>
      <c r="B170" s="743"/>
      <c r="C170" s="1590" t="s">
        <v>822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010">
        <f t="shared" ref="J170:J171" si="4">ROUND(($J$167/(1-$I$179))*I170,2)</f>
        <v>48.42</v>
      </c>
      <c r="K170" s="1065"/>
    </row>
    <row r="171" spans="1:11" ht="19.5" customHeight="1">
      <c r="A171" s="1031"/>
      <c r="B171" s="743"/>
      <c r="C171" s="1590" t="s">
        <v>823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010">
        <f t="shared" si="4"/>
        <v>223.02</v>
      </c>
      <c r="K171" s="1065"/>
    </row>
    <row r="172" spans="1:11" ht="19.5" customHeight="1">
      <c r="A172" s="1031"/>
      <c r="B172" s="743"/>
      <c r="C172" s="1577" t="s">
        <v>824</v>
      </c>
      <c r="D172" s="1477"/>
      <c r="E172" s="1477"/>
      <c r="F172" s="1477"/>
      <c r="G172" s="1477"/>
      <c r="H172" s="1478"/>
      <c r="I172" s="872" t="s">
        <v>325</v>
      </c>
      <c r="J172" s="1011" t="s">
        <v>325</v>
      </c>
      <c r="K172" s="1046"/>
    </row>
    <row r="173" spans="1:11" ht="19.5" customHeight="1">
      <c r="A173" s="1031"/>
      <c r="B173" s="743"/>
      <c r="C173" s="1577" t="s">
        <v>825</v>
      </c>
      <c r="D173" s="1477"/>
      <c r="E173" s="1477"/>
      <c r="F173" s="1477"/>
      <c r="G173" s="1477"/>
      <c r="H173" s="1478"/>
      <c r="I173" s="872" t="s">
        <v>325</v>
      </c>
      <c r="J173" s="1011" t="s">
        <v>325</v>
      </c>
      <c r="K173" s="1046"/>
    </row>
    <row r="174" spans="1:11" ht="19.5" customHeight="1">
      <c r="A174" s="1031"/>
      <c r="B174" s="743"/>
      <c r="C174" s="1577" t="s">
        <v>483</v>
      </c>
      <c r="D174" s="1477"/>
      <c r="E174" s="1477"/>
      <c r="F174" s="1477"/>
      <c r="G174" s="1477"/>
      <c r="H174" s="1477"/>
      <c r="I174" s="1066" t="s">
        <v>325</v>
      </c>
      <c r="J174" s="1011" t="s">
        <v>325</v>
      </c>
      <c r="K174" s="1067"/>
    </row>
    <row r="175" spans="1:11" ht="19.5" customHeight="1">
      <c r="A175" s="1031"/>
      <c r="B175" s="743"/>
      <c r="C175" s="1577" t="s">
        <v>484</v>
      </c>
      <c r="D175" s="1477"/>
      <c r="E175" s="1477"/>
      <c r="F175" s="1477"/>
      <c r="G175" s="1477"/>
      <c r="H175" s="1477"/>
      <c r="I175" s="1066" t="s">
        <v>325</v>
      </c>
      <c r="J175" s="1011" t="s">
        <v>325</v>
      </c>
      <c r="K175" s="1067"/>
    </row>
    <row r="176" spans="1:11" ht="11.25" customHeight="1">
      <c r="A176" s="1031"/>
      <c r="B176" s="743"/>
      <c r="C176" s="1577" t="s">
        <v>826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010">
        <f>ROUND(($J$167/(1-$I$179))*I176,2)</f>
        <v>58.69</v>
      </c>
      <c r="K176" s="1065"/>
    </row>
    <row r="177" spans="1:11" ht="11.25" customHeight="1">
      <c r="A177" s="1031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1000">
        <f>SUM(J164+J166+J170+J171+J176)</f>
        <v>616.61000000000013</v>
      </c>
      <c r="K177" s="1049"/>
    </row>
    <row r="178" spans="1:11" ht="11.25" customHeight="1">
      <c r="A178" s="1031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1056"/>
    </row>
    <row r="179" spans="1:11" ht="11.25" customHeight="1">
      <c r="A179" s="1031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5">SUM(I170:I176)</f>
        <v>0.1125</v>
      </c>
      <c r="J179" s="866">
        <f t="shared" si="5"/>
        <v>330.13</v>
      </c>
      <c r="K179" s="1064"/>
    </row>
    <row r="180" spans="1:11" ht="11.25" customHeight="1">
      <c r="A180" s="1031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5"/>
    </row>
    <row r="181" spans="1:11" ht="11.25" customHeight="1">
      <c r="A181" s="1031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7"/>
    </row>
    <row r="182" spans="1:11" ht="11.25" customHeight="1">
      <c r="A182" s="1031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5"/>
    </row>
    <row r="183" spans="1:11" ht="8.25" customHeight="1">
      <c r="A183" s="1031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1068"/>
    </row>
    <row r="184" spans="1:11" ht="11.25" customHeight="1">
      <c r="A184" s="1031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</row>
    <row r="185" spans="1:11" ht="9" customHeight="1">
      <c r="A185" s="1031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1056"/>
    </row>
    <row r="186" spans="1:11" ht="11.25" customHeight="1">
      <c r="A186" s="1031"/>
      <c r="B186" s="1674" t="s">
        <v>827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</row>
    <row r="187" spans="1:11" ht="17.25" customHeight="1">
      <c r="A187" s="1031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863" t="s">
        <v>390</v>
      </c>
      <c r="K187" s="697"/>
    </row>
    <row r="188" spans="1:11" ht="17.25" customHeight="1">
      <c r="A188" s="1031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1314.59</v>
      </c>
      <c r="K188" s="789"/>
    </row>
    <row r="189" spans="1:11" ht="17.25" customHeight="1">
      <c r="A189" s="1031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901.87999999999988</v>
      </c>
      <c r="K189" s="789"/>
    </row>
    <row r="190" spans="1:11" ht="17.25" customHeight="1">
      <c r="A190" s="1031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73.64</v>
      </c>
      <c r="K190" s="789"/>
    </row>
    <row r="191" spans="1:11" ht="17.25" customHeight="1">
      <c r="A191" s="1031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25.990933333333334</v>
      </c>
      <c r="K191" s="789"/>
    </row>
    <row r="192" spans="1:11" ht="17.25" customHeight="1">
      <c r="A192" s="1031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1.72</v>
      </c>
      <c r="K192" s="789"/>
    </row>
    <row r="193" spans="1:12" ht="17.25" customHeight="1">
      <c r="A193" s="1031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2317.8200000000002</v>
      </c>
      <c r="K193" s="789"/>
    </row>
    <row r="194" spans="1:12" ht="17.25" customHeight="1">
      <c r="A194" s="1031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616.61000000000013</v>
      </c>
      <c r="K194" s="789"/>
    </row>
    <row r="195" spans="1:12" ht="17.25" customHeight="1">
      <c r="A195" s="1031"/>
      <c r="B195" s="1600" t="s">
        <v>647</v>
      </c>
      <c r="C195" s="1477"/>
      <c r="D195" s="1477"/>
      <c r="E195" s="1477"/>
      <c r="F195" s="1477"/>
      <c r="G195" s="1477"/>
      <c r="H195" s="1477"/>
      <c r="I195" s="1521"/>
      <c r="J195" s="857">
        <f>J193+J194</f>
        <v>2934.4300000000003</v>
      </c>
      <c r="K195" s="789"/>
    </row>
    <row r="196" spans="1:12" ht="24.75" customHeight="1">
      <c r="A196" s="1031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</row>
    <row r="197" spans="1:12" ht="6.75" customHeight="1">
      <c r="A197" s="1031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</row>
    <row r="198" spans="1:12" ht="11.25" customHeight="1">
      <c r="A198" s="1031"/>
      <c r="B198" s="885"/>
      <c r="C198" s="723"/>
      <c r="D198" s="723"/>
      <c r="E198" s="723"/>
      <c r="F198" s="723"/>
      <c r="G198" s="723"/>
      <c r="H198" s="723"/>
      <c r="I198" s="1069"/>
      <c r="J198" s="1070"/>
      <c r="K198" s="1069"/>
    </row>
    <row r="199" spans="1:12" ht="21.75" customHeight="1">
      <c r="A199" s="1031"/>
      <c r="B199" s="1693" t="s">
        <v>502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</row>
    <row r="200" spans="1:12" ht="52.5" customHeight="1">
      <c r="A200" s="1031"/>
      <c r="B200" s="1641" t="s">
        <v>503</v>
      </c>
      <c r="C200" s="1477"/>
      <c r="D200" s="1477"/>
      <c r="E200" s="1478"/>
      <c r="F200" s="889" t="s">
        <v>648</v>
      </c>
      <c r="G200" s="890"/>
      <c r="H200" s="891" t="s">
        <v>506</v>
      </c>
      <c r="I200" s="1641" t="s">
        <v>507</v>
      </c>
      <c r="J200" s="1478"/>
      <c r="K200" s="697"/>
    </row>
    <row r="201" spans="1:12" ht="24.75" hidden="1" customHeight="1" outlineLevel="1">
      <c r="A201" s="1031"/>
      <c r="B201" s="1577" t="s">
        <v>508</v>
      </c>
      <c r="C201" s="1477"/>
      <c r="D201" s="1477"/>
      <c r="E201" s="1478"/>
      <c r="F201" s="1694">
        <v>0</v>
      </c>
      <c r="G201" s="1478"/>
      <c r="H201" s="892">
        <f t="shared" ref="H201:H202" si="6">E201*F201</f>
        <v>0</v>
      </c>
      <c r="I201" s="1694">
        <f t="shared" ref="I201:I202" si="7">F201*H201</f>
        <v>0</v>
      </c>
      <c r="J201" s="1478"/>
      <c r="K201" s="770"/>
    </row>
    <row r="202" spans="1:12" ht="24.75" hidden="1" customHeight="1" outlineLevel="1">
      <c r="A202" s="1031"/>
      <c r="B202" s="1577" t="s">
        <v>509</v>
      </c>
      <c r="C202" s="1477"/>
      <c r="D202" s="1477"/>
      <c r="E202" s="1478"/>
      <c r="F202" s="1694">
        <v>0</v>
      </c>
      <c r="G202" s="1478"/>
      <c r="H202" s="893">
        <f t="shared" si="6"/>
        <v>0</v>
      </c>
      <c r="I202" s="1694">
        <f t="shared" si="7"/>
        <v>0</v>
      </c>
      <c r="J202" s="1478"/>
      <c r="K202" s="770"/>
    </row>
    <row r="203" spans="1:12" ht="24.75" customHeight="1" collapsed="1">
      <c r="A203" s="1031"/>
      <c r="B203" s="1609" t="str">
        <f>B3</f>
        <v>3341-05_INSTRUTOR-de-ALUNOS_20hs</v>
      </c>
      <c r="C203" s="1477"/>
      <c r="D203" s="1477"/>
      <c r="E203" s="1478"/>
      <c r="F203" s="894">
        <f>J195</f>
        <v>2934.4300000000003</v>
      </c>
      <c r="G203" s="895">
        <f>I40</f>
        <v>1</v>
      </c>
      <c r="H203" s="1071"/>
      <c r="I203" s="1695">
        <f>F203*G203</f>
        <v>2934.4300000000003</v>
      </c>
      <c r="J203" s="1478"/>
      <c r="K203" s="897" t="s">
        <v>510</v>
      </c>
      <c r="L203" s="897" t="str">
        <f>B3</f>
        <v>3341-05_INSTRUTOR-de-ALUNOS_20hs</v>
      </c>
    </row>
    <row r="204" spans="1:12" ht="24.75" hidden="1" customHeight="1" outlineLevel="1">
      <c r="A204" s="1031"/>
      <c r="B204" s="1577" t="s">
        <v>511</v>
      </c>
      <c r="C204" s="1477"/>
      <c r="D204" s="1477"/>
      <c r="E204" s="1478"/>
      <c r="F204" s="1696">
        <v>0</v>
      </c>
      <c r="G204" s="1478"/>
      <c r="H204" s="898">
        <f t="shared" ref="H204:I204" si="8">E204*G204</f>
        <v>0</v>
      </c>
      <c r="I204" s="1696">
        <f t="shared" si="8"/>
        <v>0</v>
      </c>
      <c r="J204" s="1478"/>
      <c r="K204" s="770"/>
      <c r="L204" s="770"/>
    </row>
    <row r="205" spans="1:12" ht="24.75" hidden="1" customHeight="1" outlineLevel="1">
      <c r="A205" s="1031"/>
      <c r="B205" s="1577" t="s">
        <v>512</v>
      </c>
      <c r="C205" s="1477"/>
      <c r="D205" s="1477"/>
      <c r="E205" s="1478"/>
      <c r="F205" s="1696">
        <v>0</v>
      </c>
      <c r="G205" s="1478"/>
      <c r="H205" s="898">
        <f t="shared" ref="H205:I205" si="9">E205*G205</f>
        <v>0</v>
      </c>
      <c r="I205" s="1696">
        <f t="shared" si="9"/>
        <v>0</v>
      </c>
      <c r="J205" s="1478"/>
      <c r="K205" s="770"/>
      <c r="L205" s="770"/>
    </row>
    <row r="206" spans="1:12" ht="11.25" hidden="1" customHeight="1" outlineLevel="1">
      <c r="A206" s="1031"/>
      <c r="B206" s="1730" t="s">
        <v>828</v>
      </c>
      <c r="C206" s="1477"/>
      <c r="D206" s="1477"/>
      <c r="E206" s="1478"/>
      <c r="F206" s="1694">
        <v>0</v>
      </c>
      <c r="G206" s="1478"/>
      <c r="H206" s="898">
        <f t="shared" ref="H206:I206" si="10">E206*G206</f>
        <v>0</v>
      </c>
      <c r="I206" s="1696">
        <f t="shared" si="10"/>
        <v>0</v>
      </c>
      <c r="J206" s="1478"/>
      <c r="K206" s="770"/>
      <c r="L206" s="770"/>
    </row>
    <row r="207" spans="1:12" ht="29.25" customHeight="1" collapsed="1">
      <c r="A207" s="1031"/>
      <c r="B207" s="1699" t="s">
        <v>514</v>
      </c>
      <c r="C207" s="1477"/>
      <c r="D207" s="1477"/>
      <c r="E207" s="1477"/>
      <c r="F207" s="1477"/>
      <c r="G207" s="1478"/>
      <c r="H207" s="899">
        <f>I17</f>
        <v>0</v>
      </c>
      <c r="I207" s="1697">
        <f>H207*I203</f>
        <v>0</v>
      </c>
      <c r="J207" s="1478"/>
      <c r="K207" s="900"/>
      <c r="L207" s="900"/>
    </row>
    <row r="208" spans="1:12" ht="9" customHeight="1">
      <c r="A208" s="1031"/>
      <c r="B208" s="1723"/>
      <c r="C208" s="1705"/>
      <c r="D208" s="1705"/>
      <c r="E208" s="1705"/>
      <c r="F208" s="1705"/>
      <c r="G208" s="1705"/>
      <c r="H208" s="1705"/>
      <c r="I208" s="1705"/>
      <c r="J208" s="1706"/>
      <c r="K208" s="777"/>
      <c r="L208" s="777"/>
    </row>
    <row r="209" spans="1:12" ht="15" customHeight="1">
      <c r="A209" s="1031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  <c r="L209" s="730"/>
    </row>
    <row r="210" spans="1:12" ht="6" customHeight="1">
      <c r="A210" s="1031"/>
      <c r="B210" s="1724"/>
      <c r="C210" s="1477"/>
      <c r="D210" s="1477"/>
      <c r="E210" s="1477"/>
      <c r="F210" s="1477"/>
      <c r="G210" s="1477"/>
      <c r="H210" s="1477"/>
      <c r="I210" s="1477"/>
      <c r="J210" s="1478"/>
      <c r="K210" s="723"/>
      <c r="L210" s="723"/>
    </row>
    <row r="211" spans="1:12" ht="26.25" customHeight="1">
      <c r="A211" s="1031"/>
      <c r="B211" s="1563" t="s">
        <v>516</v>
      </c>
      <c r="C211" s="1477"/>
      <c r="D211" s="1477"/>
      <c r="E211" s="1477"/>
      <c r="F211" s="1477"/>
      <c r="G211" s="1478"/>
      <c r="H211" s="1564">
        <f>$I$207</f>
        <v>0</v>
      </c>
      <c r="I211" s="1477"/>
      <c r="J211" s="1478"/>
      <c r="K211" s="901"/>
      <c r="L211" s="901"/>
    </row>
    <row r="212" spans="1:12" ht="10.5" customHeight="1">
      <c r="A212" s="1031"/>
      <c r="B212" s="1725"/>
      <c r="C212" s="1528"/>
      <c r="D212" s="1528"/>
      <c r="E212" s="1528"/>
      <c r="F212" s="1528"/>
      <c r="G212" s="1528"/>
      <c r="H212" s="1528"/>
      <c r="I212" s="1528"/>
      <c r="J212" s="1566"/>
      <c r="K212" s="858"/>
      <c r="L212" s="858"/>
    </row>
    <row r="213" spans="1:12" ht="25.5" customHeight="1">
      <c r="A213" s="1031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  <c r="L213" s="902"/>
    </row>
    <row r="214" spans="1:12" ht="10.5" customHeight="1">
      <c r="A214" s="1031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  <c r="L214" s="903"/>
    </row>
    <row r="215" spans="1:12" ht="38.25" customHeight="1">
      <c r="A215" s="1031"/>
      <c r="B215" s="1563" t="s">
        <v>829</v>
      </c>
      <c r="C215" s="1477"/>
      <c r="D215" s="1477"/>
      <c r="E215" s="1477"/>
      <c r="F215" s="1477"/>
      <c r="G215" s="1478"/>
      <c r="H215" s="1569">
        <f>ROUND(H211*H213,2)</f>
        <v>0</v>
      </c>
      <c r="I215" s="1477"/>
      <c r="J215" s="1478"/>
      <c r="K215" s="901"/>
      <c r="L215" s="901"/>
    </row>
    <row r="216" spans="1:12" ht="9" customHeight="1">
      <c r="A216" s="1031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  <c r="L216" s="723"/>
    </row>
    <row r="217" spans="1:12" ht="11.25" customHeight="1">
      <c r="A217" s="1031"/>
      <c r="B217" s="1031"/>
      <c r="C217" s="1031"/>
      <c r="D217" s="1031"/>
      <c r="E217" s="1031"/>
      <c r="F217" s="1031"/>
      <c r="G217" s="1031"/>
      <c r="H217" s="1031"/>
      <c r="I217" s="1031"/>
      <c r="J217" s="1031"/>
      <c r="K217" s="718"/>
      <c r="L217" s="718"/>
    </row>
    <row r="218" spans="1:12" ht="24.75" customHeight="1">
      <c r="B218" s="1031"/>
      <c r="C218" s="1031"/>
      <c r="D218" s="1031"/>
      <c r="E218" s="1031"/>
      <c r="F218" s="1031"/>
      <c r="G218" s="1031"/>
      <c r="H218" s="1031"/>
      <c r="I218" s="1031"/>
      <c r="J218" s="1031"/>
      <c r="K218" s="904"/>
      <c r="L218" s="904"/>
    </row>
    <row r="219" spans="1:12" ht="36.75" hidden="1" customHeight="1" outlineLevel="1">
      <c r="B219" s="905" t="s">
        <v>830</v>
      </c>
      <c r="C219" s="906"/>
      <c r="D219" s="906"/>
      <c r="E219" s="906"/>
      <c r="F219" s="906"/>
      <c r="G219" s="907" t="str">
        <f>B3</f>
        <v>3341-05_INSTRUTOR-de-ALUNOS_20hs</v>
      </c>
      <c r="H219" s="906"/>
      <c r="I219" s="906"/>
      <c r="J219" s="906"/>
      <c r="K219" s="904"/>
      <c r="L219" s="904"/>
    </row>
    <row r="220" spans="1:12" ht="37.5" hidden="1" customHeight="1" outlineLevel="1">
      <c r="B220" s="1571" t="s">
        <v>352</v>
      </c>
      <c r="C220" s="1477"/>
      <c r="D220" s="1477"/>
      <c r="E220" s="1477"/>
      <c r="F220" s="1477"/>
      <c r="G220" s="1477"/>
      <c r="H220" s="1477"/>
      <c r="I220" s="1477"/>
      <c r="J220" s="1478"/>
      <c r="K220" s="900"/>
      <c r="L220" s="900"/>
    </row>
    <row r="221" spans="1:12" ht="21" hidden="1" customHeight="1" outlineLevel="1">
      <c r="B221" s="753">
        <v>1</v>
      </c>
      <c r="C221" s="1603" t="s">
        <v>831</v>
      </c>
      <c r="D221" s="1477"/>
      <c r="E221" s="1477"/>
      <c r="F221" s="1477"/>
      <c r="G221" s="1477"/>
      <c r="H221" s="1478"/>
      <c r="I221" s="754" t="s">
        <v>354</v>
      </c>
      <c r="J221" s="753" t="s">
        <v>355</v>
      </c>
      <c r="K221" s="900"/>
      <c r="L221" s="900"/>
    </row>
    <row r="222" spans="1:12" ht="30.75" hidden="1" customHeight="1" outlineLevel="1">
      <c r="B222" s="696" t="s">
        <v>360</v>
      </c>
      <c r="C222" s="1573" t="s">
        <v>832</v>
      </c>
      <c r="D222" s="1477"/>
      <c r="E222" s="1478"/>
      <c r="F222" s="763" t="s">
        <v>362</v>
      </c>
      <c r="G222" s="909">
        <v>0</v>
      </c>
      <c r="H222" s="763" t="s">
        <v>522</v>
      </c>
      <c r="I222" s="765">
        <f>I33*0.2</f>
        <v>2.6280000000000001</v>
      </c>
      <c r="J222" s="766">
        <f t="shared" ref="J222:J224" si="11">G222*I222</f>
        <v>0</v>
      </c>
      <c r="K222" s="910"/>
      <c r="L222" s="910"/>
    </row>
    <row r="223" spans="1:12" ht="30.75" hidden="1" customHeight="1" outlineLevel="1">
      <c r="B223" s="696" t="s">
        <v>368</v>
      </c>
      <c r="C223" s="1574" t="s">
        <v>833</v>
      </c>
      <c r="D223" s="1575"/>
      <c r="E223" s="1575"/>
      <c r="F223" s="763" t="s">
        <v>370</v>
      </c>
      <c r="G223" s="909">
        <v>0</v>
      </c>
      <c r="H223" s="763" t="s">
        <v>524</v>
      </c>
      <c r="I223" s="765">
        <f>I33*1.5</f>
        <v>19.709999999999997</v>
      </c>
      <c r="J223" s="766">
        <f t="shared" si="11"/>
        <v>0</v>
      </c>
      <c r="K223" s="910"/>
      <c r="L223" s="910"/>
    </row>
    <row r="224" spans="1:12" ht="30.75" hidden="1" customHeight="1" outlineLevel="1">
      <c r="B224" s="696" t="s">
        <v>372</v>
      </c>
      <c r="C224" s="1574" t="s">
        <v>834</v>
      </c>
      <c r="D224" s="1575"/>
      <c r="E224" s="1575"/>
      <c r="F224" s="763" t="s">
        <v>374</v>
      </c>
      <c r="G224" s="909">
        <v>0</v>
      </c>
      <c r="H224" s="763" t="s">
        <v>526</v>
      </c>
      <c r="I224" s="765">
        <f>I33*2</f>
        <v>26.279999999999998</v>
      </c>
      <c r="J224" s="767">
        <f t="shared" si="11"/>
        <v>0</v>
      </c>
      <c r="K224" s="910"/>
      <c r="L224" s="910"/>
    </row>
    <row r="225" spans="2:12" ht="30.75" hidden="1" customHeight="1" outlineLevel="1">
      <c r="B225" s="696" t="s">
        <v>376</v>
      </c>
      <c r="C225" s="1576" t="s">
        <v>835</v>
      </c>
      <c r="D225" s="1419"/>
      <c r="E225" s="1419"/>
      <c r="F225" s="763" t="s">
        <v>378</v>
      </c>
      <c r="G225" s="768">
        <f>SUM(G222:G224)*0.2</f>
        <v>0</v>
      </c>
      <c r="H225" s="763"/>
      <c r="I225" s="765"/>
      <c r="J225" s="767">
        <f>ROUND(SUM(J222:J224)*0.2,2)</f>
        <v>0</v>
      </c>
      <c r="K225" s="910"/>
      <c r="L225" s="910"/>
    </row>
    <row r="226" spans="2:12" ht="21" hidden="1" customHeight="1" outlineLevel="1">
      <c r="B226" s="696" t="s">
        <v>379</v>
      </c>
      <c r="C226" s="1577" t="s">
        <v>380</v>
      </c>
      <c r="D226" s="1477"/>
      <c r="E226" s="1477"/>
      <c r="F226" s="1477"/>
      <c r="G226" s="1477"/>
      <c r="H226" s="1477"/>
      <c r="I226" s="1478"/>
      <c r="J226" s="769" t="s">
        <v>325</v>
      </c>
      <c r="K226" s="900"/>
      <c r="L226" s="900"/>
    </row>
    <row r="227" spans="2:12" ht="21" hidden="1" customHeight="1" outlineLevel="1">
      <c r="B227" s="1578" t="s">
        <v>836</v>
      </c>
      <c r="C227" s="1477"/>
      <c r="D227" s="1477"/>
      <c r="E227" s="1477"/>
      <c r="F227" s="1477"/>
      <c r="G227" s="1477"/>
      <c r="H227" s="1477"/>
      <c r="I227" s="1478"/>
      <c r="J227" s="775">
        <f>SUM(J222:J226)</f>
        <v>0</v>
      </c>
      <c r="K227" s="900"/>
      <c r="L227" s="900"/>
    </row>
    <row r="228" spans="2:12" ht="15.75" hidden="1" customHeight="1" outlineLevel="1">
      <c r="B228" s="908"/>
      <c r="C228" s="908"/>
      <c r="D228" s="908"/>
      <c r="E228" s="908"/>
      <c r="F228" s="908"/>
      <c r="G228" s="908"/>
      <c r="H228" s="908"/>
      <c r="I228" s="908"/>
      <c r="J228" s="908"/>
      <c r="K228" s="900"/>
      <c r="L228" s="900"/>
    </row>
    <row r="229" spans="2:12" ht="39" hidden="1" customHeight="1" outlineLevel="1">
      <c r="B229" s="1579" t="s">
        <v>386</v>
      </c>
      <c r="C229" s="1477"/>
      <c r="D229" s="1477"/>
      <c r="E229" s="1477"/>
      <c r="F229" s="1477"/>
      <c r="G229" s="1477"/>
      <c r="H229" s="1477"/>
      <c r="I229" s="1477"/>
      <c r="J229" s="1478"/>
      <c r="K229" s="900"/>
      <c r="L229" s="900"/>
    </row>
    <row r="230" spans="2:12" ht="72" hidden="1" customHeight="1" outlineLevel="1">
      <c r="B230" s="1580" t="s">
        <v>837</v>
      </c>
      <c r="C230" s="1477"/>
      <c r="D230" s="1477"/>
      <c r="E230" s="1477"/>
      <c r="F230" s="1477"/>
      <c r="G230" s="1477"/>
      <c r="H230" s="1477"/>
      <c r="I230" s="1477"/>
      <c r="J230" s="1478"/>
      <c r="K230" s="900"/>
      <c r="L230" s="900"/>
    </row>
    <row r="231" spans="2:12" ht="27" hidden="1" customHeight="1" outlineLevel="1">
      <c r="B231" s="911">
        <v>45659</v>
      </c>
      <c r="C231" s="1581" t="s">
        <v>530</v>
      </c>
      <c r="D231" s="1477"/>
      <c r="E231" s="1477"/>
      <c r="F231" s="1477"/>
      <c r="G231" s="1477"/>
      <c r="H231" s="1477"/>
      <c r="I231" s="1478"/>
      <c r="J231" s="912" t="s">
        <v>390</v>
      </c>
      <c r="K231" s="900"/>
      <c r="L231" s="900"/>
    </row>
    <row r="232" spans="2:12" ht="27" hidden="1" customHeight="1" outlineLevel="1">
      <c r="B232" s="912" t="s">
        <v>312</v>
      </c>
      <c r="C232" s="1553" t="s">
        <v>531</v>
      </c>
      <c r="D232" s="1477"/>
      <c r="E232" s="1477"/>
      <c r="F232" s="1477"/>
      <c r="G232" s="1477"/>
      <c r="H232" s="1478"/>
      <c r="I232" s="913">
        <f t="shared" ref="I232:I233" si="12">I70</f>
        <v>8.3299999999999999E-2</v>
      </c>
      <c r="J232" s="766">
        <f>J227*I232</f>
        <v>0</v>
      </c>
      <c r="K232" s="900"/>
      <c r="L232" s="900"/>
    </row>
    <row r="233" spans="2:12" ht="27" hidden="1" customHeight="1" outlineLevel="1">
      <c r="B233" s="912" t="s">
        <v>314</v>
      </c>
      <c r="C233" s="1582" t="s">
        <v>838</v>
      </c>
      <c r="D233" s="1477"/>
      <c r="E233" s="1477"/>
      <c r="F233" s="1477"/>
      <c r="G233" s="1477"/>
      <c r="H233" s="1478"/>
      <c r="I233" s="913">
        <f t="shared" si="12"/>
        <v>3.0249999999999999E-2</v>
      </c>
      <c r="J233" s="766">
        <f>J227*I233</f>
        <v>0</v>
      </c>
      <c r="K233" s="900"/>
      <c r="L233" s="900"/>
    </row>
    <row r="234" spans="2:12" ht="27" hidden="1" customHeight="1" outlineLevel="1">
      <c r="B234" s="1583" t="s">
        <v>393</v>
      </c>
      <c r="C234" s="1477"/>
      <c r="D234" s="1477"/>
      <c r="E234" s="1477"/>
      <c r="F234" s="1477"/>
      <c r="G234" s="1477"/>
      <c r="H234" s="1477"/>
      <c r="I234" s="1478"/>
      <c r="J234" s="775">
        <f>SUM(J232:J233)</f>
        <v>0</v>
      </c>
      <c r="K234" s="900"/>
      <c r="L234" s="900"/>
    </row>
    <row r="235" spans="2:12" ht="27.75" hidden="1" customHeight="1" outlineLevel="1">
      <c r="B235" s="908"/>
      <c r="C235" s="908"/>
      <c r="D235" s="908"/>
      <c r="E235" s="908"/>
      <c r="F235" s="908"/>
      <c r="G235" s="908"/>
      <c r="H235" s="908"/>
      <c r="I235" s="908"/>
      <c r="J235" s="908"/>
      <c r="K235" s="900"/>
      <c r="L235" s="900"/>
    </row>
    <row r="236" spans="2:12" ht="15.75" hidden="1" customHeight="1" outlineLevel="1">
      <c r="B236" s="791" t="s">
        <v>396</v>
      </c>
      <c r="C236" s="1664" t="s">
        <v>839</v>
      </c>
      <c r="D236" s="1477"/>
      <c r="E236" s="1477"/>
      <c r="F236" s="1477"/>
      <c r="G236" s="1477"/>
      <c r="H236" s="1478"/>
      <c r="I236" s="792" t="s">
        <v>354</v>
      </c>
      <c r="J236" s="793" t="s">
        <v>398</v>
      </c>
      <c r="K236" s="900"/>
      <c r="L236" s="900"/>
    </row>
    <row r="237" spans="2:12" ht="21.75" hidden="1" customHeight="1" outlineLevel="1">
      <c r="B237" s="794" t="s">
        <v>312</v>
      </c>
      <c r="C237" s="1577" t="s">
        <v>399</v>
      </c>
      <c r="D237" s="1477"/>
      <c r="E237" s="1477"/>
      <c r="F237" s="1477"/>
      <c r="G237" s="1477"/>
      <c r="H237" s="1478"/>
      <c r="I237" s="795">
        <f t="shared" ref="I237:I238" si="13">I78</f>
        <v>0.2</v>
      </c>
      <c r="J237" s="796">
        <f>ROUND((J227+J234)*I237,2)</f>
        <v>0</v>
      </c>
      <c r="K237" s="900"/>
      <c r="L237" s="900"/>
    </row>
    <row r="238" spans="2:12" ht="21.75" hidden="1" customHeight="1" outlineLevel="1">
      <c r="B238" s="794" t="s">
        <v>314</v>
      </c>
      <c r="C238" s="1577" t="s">
        <v>400</v>
      </c>
      <c r="D238" s="1477"/>
      <c r="E238" s="1477"/>
      <c r="F238" s="1477"/>
      <c r="G238" s="1477"/>
      <c r="H238" s="1478"/>
      <c r="I238" s="795">
        <f t="shared" si="13"/>
        <v>2.5000000000000001E-2</v>
      </c>
      <c r="J238" s="796">
        <f>ROUND((J227+J234)*I238,2)</f>
        <v>0</v>
      </c>
      <c r="K238" s="900"/>
      <c r="L238" s="900"/>
    </row>
    <row r="239" spans="2:12" ht="21.75" hidden="1" customHeight="1" outlineLevel="1">
      <c r="B239" s="794" t="s">
        <v>316</v>
      </c>
      <c r="C239" s="1577" t="s">
        <v>840</v>
      </c>
      <c r="D239" s="1478"/>
      <c r="E239" s="735" t="s">
        <v>402</v>
      </c>
      <c r="F239" s="797">
        <f>F80</f>
        <v>0.03</v>
      </c>
      <c r="G239" s="735" t="s">
        <v>403</v>
      </c>
      <c r="H239" s="798">
        <f t="shared" ref="H239:I239" si="14">H80</f>
        <v>1</v>
      </c>
      <c r="I239" s="795">
        <f t="shared" si="14"/>
        <v>0.03</v>
      </c>
      <c r="J239" s="796">
        <f>ROUND((J227+J234)*I239,2)</f>
        <v>0</v>
      </c>
      <c r="K239" s="900"/>
      <c r="L239" s="900"/>
    </row>
    <row r="240" spans="2:12" ht="21.75" hidden="1" customHeight="1" outlineLevel="1">
      <c r="B240" s="794" t="s">
        <v>318</v>
      </c>
      <c r="C240" s="1577" t="s">
        <v>404</v>
      </c>
      <c r="D240" s="1477"/>
      <c r="E240" s="1477"/>
      <c r="F240" s="1477"/>
      <c r="G240" s="1477"/>
      <c r="H240" s="1478"/>
      <c r="I240" s="795">
        <f t="shared" ref="I240:I244" si="15">I81</f>
        <v>1.4999999999999999E-2</v>
      </c>
      <c r="J240" s="796">
        <f>ROUND((J227+J234)*I240,2)</f>
        <v>0</v>
      </c>
      <c r="K240" s="900"/>
      <c r="L240" s="900"/>
    </row>
    <row r="241" spans="2:12" ht="21.75" hidden="1" customHeight="1" outlineLevel="1">
      <c r="B241" s="794" t="s">
        <v>360</v>
      </c>
      <c r="C241" s="1577" t="s">
        <v>405</v>
      </c>
      <c r="D241" s="1477"/>
      <c r="E241" s="1477"/>
      <c r="F241" s="1477"/>
      <c r="G241" s="1477"/>
      <c r="H241" s="1478"/>
      <c r="I241" s="795">
        <f t="shared" si="15"/>
        <v>0.01</v>
      </c>
      <c r="J241" s="796">
        <f>ROUND((J227+J234)*I241,2)</f>
        <v>0</v>
      </c>
      <c r="K241" s="900"/>
      <c r="L241" s="900"/>
    </row>
    <row r="242" spans="2:12" ht="21.75" hidden="1" customHeight="1" outlineLevel="1">
      <c r="B242" s="794" t="s">
        <v>364</v>
      </c>
      <c r="C242" s="1577" t="s">
        <v>406</v>
      </c>
      <c r="D242" s="1477"/>
      <c r="E242" s="1477"/>
      <c r="F242" s="1477"/>
      <c r="G242" s="1477"/>
      <c r="H242" s="1478"/>
      <c r="I242" s="795">
        <f t="shared" si="15"/>
        <v>6.0000000000000001E-3</v>
      </c>
      <c r="J242" s="796">
        <f>ROUND((J227+J234)*I242,2)</f>
        <v>0</v>
      </c>
      <c r="K242" s="900"/>
      <c r="L242" s="900"/>
    </row>
    <row r="243" spans="2:12" ht="21.75" hidden="1" customHeight="1" outlineLevel="1">
      <c r="B243" s="794" t="s">
        <v>366</v>
      </c>
      <c r="C243" s="1577" t="s">
        <v>407</v>
      </c>
      <c r="D243" s="1477"/>
      <c r="E243" s="1477"/>
      <c r="F243" s="1477"/>
      <c r="G243" s="1477"/>
      <c r="H243" s="1478"/>
      <c r="I243" s="795">
        <f t="shared" si="15"/>
        <v>2E-3</v>
      </c>
      <c r="J243" s="796">
        <f>ROUND((J227+J234)*I243,2)</f>
        <v>0</v>
      </c>
      <c r="K243" s="900"/>
      <c r="L243" s="900"/>
    </row>
    <row r="244" spans="2:12" ht="21.75" hidden="1" customHeight="1" outlineLevel="1">
      <c r="B244" s="794" t="s">
        <v>368</v>
      </c>
      <c r="C244" s="1577" t="s">
        <v>408</v>
      </c>
      <c r="D244" s="1477"/>
      <c r="E244" s="1477"/>
      <c r="F244" s="1477"/>
      <c r="G244" s="1477"/>
      <c r="H244" s="1478"/>
      <c r="I244" s="795">
        <f t="shared" si="15"/>
        <v>0.08</v>
      </c>
      <c r="J244" s="796">
        <f>ROUND((J227+J234)*I244,2)</f>
        <v>0</v>
      </c>
      <c r="K244" s="900"/>
      <c r="L244" s="900"/>
    </row>
    <row r="245" spans="2:12" ht="15.75" hidden="1" customHeight="1" outlineLevel="1">
      <c r="B245" s="1585" t="s">
        <v>393</v>
      </c>
      <c r="C245" s="1477"/>
      <c r="D245" s="1477"/>
      <c r="E245" s="1477"/>
      <c r="F245" s="1477"/>
      <c r="G245" s="1477"/>
      <c r="H245" s="1478"/>
      <c r="I245" s="800">
        <f t="shared" ref="I245:J245" si="16">SUM(I237:I244)</f>
        <v>0.36800000000000005</v>
      </c>
      <c r="J245" s="775">
        <f t="shared" si="16"/>
        <v>0</v>
      </c>
      <c r="K245" s="900"/>
      <c r="L245" s="900"/>
    </row>
    <row r="246" spans="2:12" ht="15.75" hidden="1" customHeight="1" outlineLevel="1">
      <c r="B246" s="908"/>
      <c r="C246" s="908"/>
      <c r="D246" s="908"/>
      <c r="E246" s="908"/>
      <c r="F246" s="908"/>
      <c r="G246" s="908"/>
      <c r="H246" s="908"/>
      <c r="I246" s="908"/>
      <c r="J246" s="908"/>
      <c r="K246" s="900"/>
      <c r="L246" s="900"/>
    </row>
    <row r="247" spans="2:12" ht="15.75" hidden="1" customHeight="1" outlineLevel="1">
      <c r="B247" s="1579" t="s">
        <v>663</v>
      </c>
      <c r="C247" s="1477"/>
      <c r="D247" s="1477"/>
      <c r="E247" s="1477"/>
      <c r="F247" s="1477"/>
      <c r="G247" s="1477"/>
      <c r="H247" s="1477"/>
      <c r="I247" s="1477"/>
      <c r="J247" s="1478"/>
      <c r="K247" s="900"/>
      <c r="L247" s="900"/>
    </row>
    <row r="248" spans="2:12" ht="15.75" hidden="1" customHeight="1" outlineLevel="1">
      <c r="B248" s="914">
        <v>3</v>
      </c>
      <c r="C248" s="1586" t="s">
        <v>435</v>
      </c>
      <c r="D248" s="1477"/>
      <c r="E248" s="1477"/>
      <c r="F248" s="1477"/>
      <c r="G248" s="1477"/>
      <c r="H248" s="1477"/>
      <c r="I248" s="1478"/>
      <c r="J248" s="914" t="s">
        <v>390</v>
      </c>
      <c r="K248" s="900"/>
      <c r="L248" s="900"/>
    </row>
    <row r="249" spans="2:12" ht="24.75" hidden="1" customHeight="1" outlineLevel="1">
      <c r="B249" s="915" t="s">
        <v>312</v>
      </c>
      <c r="C249" s="1587" t="s">
        <v>536</v>
      </c>
      <c r="D249" s="1477"/>
      <c r="E249" s="1477"/>
      <c r="F249" s="1477"/>
      <c r="G249" s="1477"/>
      <c r="H249" s="1477"/>
      <c r="I249" s="1478"/>
      <c r="J249" s="796">
        <f>ROUND((J227/12)+(J234/12),0)*1*0.05</f>
        <v>0</v>
      </c>
      <c r="K249" s="900"/>
      <c r="L249" s="900"/>
    </row>
    <row r="250" spans="2:12" ht="24.75" hidden="1" customHeight="1" outlineLevel="1">
      <c r="B250" s="915" t="s">
        <v>314</v>
      </c>
      <c r="C250" s="1587" t="s">
        <v>437</v>
      </c>
      <c r="D250" s="1477"/>
      <c r="E250" s="1477"/>
      <c r="F250" s="1477"/>
      <c r="G250" s="1477"/>
      <c r="H250" s="1477"/>
      <c r="I250" s="1478"/>
      <c r="J250" s="796">
        <f>(J249*I244)</f>
        <v>0</v>
      </c>
      <c r="K250" s="900"/>
      <c r="L250" s="900"/>
    </row>
    <row r="251" spans="2:12" ht="56.25" hidden="1" customHeight="1" outlineLevel="1">
      <c r="B251" s="915" t="s">
        <v>316</v>
      </c>
      <c r="C251" s="1588" t="s">
        <v>841</v>
      </c>
      <c r="D251" s="1477"/>
      <c r="E251" s="1477"/>
      <c r="F251" s="1477"/>
      <c r="G251" s="1477"/>
      <c r="H251" s="1477"/>
      <c r="I251" s="916" t="s">
        <v>128</v>
      </c>
      <c r="J251" s="796">
        <f>ROUND(((7/30)/$I$11)*$J$227*1,2)</f>
        <v>0</v>
      </c>
      <c r="K251" s="900"/>
      <c r="L251" s="900"/>
    </row>
    <row r="252" spans="2:12" ht="24.75" hidden="1" customHeight="1" outlineLevel="1">
      <c r="B252" s="915" t="s">
        <v>318</v>
      </c>
      <c r="C252" s="1587" t="s">
        <v>439</v>
      </c>
      <c r="D252" s="1477"/>
      <c r="E252" s="1477"/>
      <c r="F252" s="1477"/>
      <c r="G252" s="1477"/>
      <c r="H252" s="1477"/>
      <c r="I252" s="1478"/>
      <c r="J252" s="796">
        <f>I245*J251</f>
        <v>0</v>
      </c>
      <c r="K252" s="900"/>
      <c r="L252" s="900"/>
    </row>
    <row r="253" spans="2:12" ht="24.75" hidden="1" customHeight="1" outlineLevel="1">
      <c r="B253" s="915" t="s">
        <v>360</v>
      </c>
      <c r="C253" s="1587" t="s">
        <v>538</v>
      </c>
      <c r="D253" s="1477"/>
      <c r="E253" s="1477"/>
      <c r="F253" s="1477"/>
      <c r="G253" s="1477"/>
      <c r="H253" s="1478"/>
      <c r="I253" s="917">
        <f>I123</f>
        <v>0.04</v>
      </c>
      <c r="J253" s="796">
        <f>I253*J227</f>
        <v>0</v>
      </c>
      <c r="K253" s="900"/>
      <c r="L253" s="900"/>
    </row>
    <row r="254" spans="2:12" ht="15.75" hidden="1" customHeight="1" outlineLevel="1">
      <c r="B254" s="1583" t="s">
        <v>441</v>
      </c>
      <c r="C254" s="1477"/>
      <c r="D254" s="1477"/>
      <c r="E254" s="1477"/>
      <c r="F254" s="1477"/>
      <c r="G254" s="1477"/>
      <c r="H254" s="1477"/>
      <c r="I254" s="1478"/>
      <c r="J254" s="775">
        <f>SUM(J249:J253)</f>
        <v>0</v>
      </c>
      <c r="K254" s="900"/>
      <c r="L254" s="900"/>
    </row>
    <row r="255" spans="2:12" ht="15.75" hidden="1" customHeight="1" outlineLevel="1">
      <c r="B255" s="908"/>
      <c r="C255" s="908"/>
      <c r="D255" s="908"/>
      <c r="E255" s="908"/>
      <c r="F255" s="908"/>
      <c r="G255" s="908"/>
      <c r="H255" s="908"/>
      <c r="I255" s="908"/>
      <c r="J255" s="908"/>
      <c r="K255" s="900"/>
      <c r="L255" s="900"/>
    </row>
    <row r="256" spans="2:12" ht="30" hidden="1" customHeight="1" outlineLevel="1">
      <c r="B256" s="1553" t="s">
        <v>539</v>
      </c>
      <c r="C256" s="1477"/>
      <c r="D256" s="1477"/>
      <c r="E256" s="1477"/>
      <c r="F256" s="1477"/>
      <c r="G256" s="1477"/>
      <c r="H256" s="1477"/>
      <c r="I256" s="1477"/>
      <c r="J256" s="1478"/>
      <c r="K256" s="900"/>
      <c r="L256" s="900"/>
    </row>
    <row r="257" spans="2:12" ht="32.25" hidden="1" customHeight="1" outlineLevel="1">
      <c r="B257" s="832" t="s">
        <v>540</v>
      </c>
      <c r="C257" s="833">
        <f>J227</f>
        <v>0</v>
      </c>
      <c r="D257" s="918" t="s">
        <v>446</v>
      </c>
      <c r="E257" s="832" t="s">
        <v>541</v>
      </c>
      <c r="F257" s="833">
        <f>J234+J245</f>
        <v>0</v>
      </c>
      <c r="G257" s="918" t="s">
        <v>446</v>
      </c>
      <c r="H257" s="832" t="s">
        <v>448</v>
      </c>
      <c r="I257" s="833">
        <f>J254</f>
        <v>0</v>
      </c>
      <c r="J257" s="835">
        <f>C257+F257+I257</f>
        <v>0</v>
      </c>
      <c r="K257" s="900"/>
      <c r="L257" s="900"/>
    </row>
    <row r="258" spans="2:12" ht="15.75" hidden="1" customHeight="1" outlineLevel="1">
      <c r="B258" s="908"/>
      <c r="C258" s="908"/>
      <c r="D258" s="908"/>
      <c r="E258" s="908"/>
      <c r="F258" s="908"/>
      <c r="G258" s="908"/>
      <c r="H258" s="908"/>
      <c r="I258" s="908"/>
      <c r="J258" s="908"/>
      <c r="K258" s="900"/>
      <c r="L258" s="900"/>
    </row>
    <row r="259" spans="2:12" ht="15.75" hidden="1" customHeight="1" outlineLevel="1">
      <c r="B259" s="1554" t="s">
        <v>449</v>
      </c>
      <c r="C259" s="1477"/>
      <c r="D259" s="1477"/>
      <c r="E259" s="1477"/>
      <c r="F259" s="1477"/>
      <c r="G259" s="1477"/>
      <c r="H259" s="1477"/>
      <c r="I259" s="1477"/>
      <c r="J259" s="1478"/>
      <c r="K259" s="900"/>
      <c r="L259" s="900"/>
    </row>
    <row r="260" spans="2:12" ht="15.75" hidden="1" customHeight="1" outlineLevel="1">
      <c r="B260" s="805" t="s">
        <v>450</v>
      </c>
      <c r="C260" s="1555" t="s">
        <v>842</v>
      </c>
      <c r="D260" s="1477"/>
      <c r="E260" s="1477"/>
      <c r="F260" s="1477"/>
      <c r="G260" s="1477"/>
      <c r="H260" s="1477"/>
      <c r="I260" s="1478"/>
      <c r="J260" s="839" t="s">
        <v>390</v>
      </c>
      <c r="K260" s="900"/>
      <c r="L260" s="900"/>
    </row>
    <row r="261" spans="2:12" ht="24.75" hidden="1" customHeight="1" outlineLevel="1">
      <c r="B261" s="919" t="s">
        <v>312</v>
      </c>
      <c r="C261" s="1556" t="s">
        <v>843</v>
      </c>
      <c r="D261" s="1477"/>
      <c r="E261" s="1477"/>
      <c r="F261" s="1477"/>
      <c r="G261" s="1477"/>
      <c r="H261" s="840">
        <f t="shared" ref="H261:I261" si="17">H133</f>
        <v>9.0749999999999997E-2</v>
      </c>
      <c r="I261" s="920">
        <f t="shared" si="17"/>
        <v>0.36800000000000005</v>
      </c>
      <c r="J261" s="921">
        <f>IF('1-ABA-DE-CARREGAMENTO'!F81="S",(ROUND(H261*J227,2)*(1+I261)),IF('1-ABA-DE-CARREGAMENTO'!F81="N",0,"INFORME S ou N"))</f>
        <v>0</v>
      </c>
      <c r="K261" s="900"/>
      <c r="L261" s="900"/>
    </row>
    <row r="262" spans="2:12" ht="24.75" hidden="1" customHeight="1" outlineLevel="1">
      <c r="B262" s="919" t="s">
        <v>314</v>
      </c>
      <c r="C262" s="1556" t="s">
        <v>844</v>
      </c>
      <c r="D262" s="1477"/>
      <c r="E262" s="1477"/>
      <c r="F262" s="1477"/>
      <c r="G262" s="1477"/>
      <c r="H262" s="1477"/>
      <c r="I262" s="1478"/>
      <c r="J262" s="922">
        <f>ROUND((1/30)/12*(J257),2)</f>
        <v>0</v>
      </c>
      <c r="K262" s="900"/>
      <c r="L262" s="900"/>
    </row>
    <row r="263" spans="2:12" ht="24.75" hidden="1" customHeight="1" outlineLevel="1">
      <c r="B263" s="919" t="s">
        <v>316</v>
      </c>
      <c r="C263" s="1556" t="s">
        <v>845</v>
      </c>
      <c r="D263" s="1477"/>
      <c r="E263" s="1477"/>
      <c r="F263" s="1477"/>
      <c r="G263" s="1477"/>
      <c r="H263" s="1477"/>
      <c r="I263" s="1478"/>
      <c r="J263" s="923">
        <f>ROUND((5/30)/12*0.015*(J257),2)</f>
        <v>0</v>
      </c>
      <c r="K263" s="900"/>
      <c r="L263" s="900"/>
    </row>
    <row r="264" spans="2:12" ht="24.75" hidden="1" customHeight="1" outlineLevel="1">
      <c r="B264" s="919" t="s">
        <v>318</v>
      </c>
      <c r="C264" s="1556" t="s">
        <v>846</v>
      </c>
      <c r="D264" s="1477"/>
      <c r="E264" s="1477"/>
      <c r="F264" s="1477"/>
      <c r="G264" s="1477"/>
      <c r="H264" s="1477"/>
      <c r="I264" s="1478"/>
      <c r="J264" s="923">
        <f>ROUND(((15/30)/12)*0.0078*(J257),2)</f>
        <v>0</v>
      </c>
      <c r="K264" s="900"/>
      <c r="L264" s="900"/>
    </row>
    <row r="265" spans="2:12" ht="24.75" hidden="1" customHeight="1" outlineLevel="1">
      <c r="B265" s="924" t="s">
        <v>360</v>
      </c>
      <c r="C265" s="1557" t="s">
        <v>847</v>
      </c>
      <c r="D265" s="1477"/>
      <c r="E265" s="1477"/>
      <c r="F265" s="1477"/>
      <c r="G265" s="1477"/>
      <c r="H265" s="1477"/>
      <c r="I265" s="1478"/>
      <c r="J265" s="925">
        <f>ROUND((((C257+C257/3)+(I245)*(C257+C257/3))*(4/12))/12,0)*0.02+((J254*4)/12)*0.02</f>
        <v>0</v>
      </c>
      <c r="K265" s="900"/>
      <c r="L265" s="900"/>
    </row>
    <row r="266" spans="2:12" ht="59.25" hidden="1" customHeight="1" outlineLevel="1">
      <c r="B266" s="919" t="s">
        <v>364</v>
      </c>
      <c r="C266" s="1556" t="s">
        <v>848</v>
      </c>
      <c r="D266" s="1477"/>
      <c r="E266" s="1477"/>
      <c r="F266" s="1477"/>
      <c r="G266" s="1477"/>
      <c r="H266" s="1477"/>
      <c r="I266" s="1478"/>
      <c r="J266" s="926">
        <f>ROUND(((3/30)/12)*(J257),2)</f>
        <v>0</v>
      </c>
      <c r="K266" s="900"/>
      <c r="L266" s="900"/>
    </row>
    <row r="267" spans="2:12" ht="15.75" hidden="1" customHeight="1" outlineLevel="1">
      <c r="B267" s="1558" t="s">
        <v>393</v>
      </c>
      <c r="C267" s="1477"/>
      <c r="D267" s="1477"/>
      <c r="E267" s="1477"/>
      <c r="F267" s="1477"/>
      <c r="G267" s="1477"/>
      <c r="H267" s="1477"/>
      <c r="I267" s="1478"/>
      <c r="J267" s="927">
        <f>SUM(J261:J266)</f>
        <v>0</v>
      </c>
      <c r="K267" s="900"/>
      <c r="L267" s="900"/>
    </row>
    <row r="268" spans="2:12" ht="15.75" hidden="1" customHeight="1" outlineLevel="1">
      <c r="B268" s="908"/>
      <c r="C268" s="908"/>
      <c r="D268" s="908"/>
      <c r="E268" s="908"/>
      <c r="F268" s="908"/>
      <c r="G268" s="908"/>
      <c r="H268" s="908"/>
      <c r="I268" s="908"/>
      <c r="J268" s="908"/>
      <c r="K268" s="900"/>
      <c r="L268" s="900"/>
    </row>
    <row r="269" spans="2:12" ht="15.75" hidden="1" customHeight="1" outlineLevel="1">
      <c r="B269" s="1559" t="s">
        <v>471</v>
      </c>
      <c r="C269" s="1477"/>
      <c r="D269" s="1477"/>
      <c r="E269" s="1477"/>
      <c r="F269" s="1477"/>
      <c r="G269" s="1477"/>
      <c r="H269" s="1477"/>
      <c r="I269" s="1477"/>
      <c r="J269" s="1478"/>
      <c r="K269" s="900"/>
      <c r="L269" s="900"/>
    </row>
    <row r="270" spans="2:12" ht="15.75" hidden="1" customHeight="1" outlineLevel="1">
      <c r="B270" s="805">
        <v>6</v>
      </c>
      <c r="C270" s="1555" t="s">
        <v>549</v>
      </c>
      <c r="D270" s="1477"/>
      <c r="E270" s="1477"/>
      <c r="F270" s="1477"/>
      <c r="G270" s="1477"/>
      <c r="H270" s="1478"/>
      <c r="I270" s="863" t="s">
        <v>354</v>
      </c>
      <c r="J270" s="864" t="s">
        <v>398</v>
      </c>
      <c r="K270" s="900"/>
      <c r="L270" s="900"/>
    </row>
    <row r="271" spans="2:12" ht="15.75" hidden="1" customHeight="1" outlineLevel="1">
      <c r="B271" s="1560" t="s">
        <v>473</v>
      </c>
      <c r="C271" s="1477"/>
      <c r="D271" s="1477"/>
      <c r="E271" s="1477"/>
      <c r="F271" s="1477"/>
      <c r="G271" s="1477"/>
      <c r="H271" s="1478"/>
      <c r="I271" s="434" t="str">
        <f t="shared" ref="I271:I284" si="18">I163</f>
        <v>-</v>
      </c>
      <c r="J271" s="866">
        <f>J227+J234+J245+J254+J267</f>
        <v>0</v>
      </c>
      <c r="K271" s="900"/>
      <c r="L271" s="900"/>
    </row>
    <row r="272" spans="2:12" ht="15.75" hidden="1" customHeight="1" outlineLevel="1">
      <c r="B272" s="743" t="s">
        <v>312</v>
      </c>
      <c r="C272" s="1561" t="s">
        <v>474</v>
      </c>
      <c r="D272" s="1477"/>
      <c r="E272" s="1477"/>
      <c r="F272" s="1477"/>
      <c r="G272" s="1477"/>
      <c r="H272" s="1478"/>
      <c r="I272" s="868">
        <f t="shared" si="18"/>
        <v>0.06</v>
      </c>
      <c r="J272" s="796">
        <f>ROUND(I272*J271,2)</f>
        <v>0</v>
      </c>
      <c r="K272" s="900"/>
      <c r="L272" s="900"/>
    </row>
    <row r="273" spans="2:12" ht="15.75" hidden="1" customHeight="1" outlineLevel="1">
      <c r="B273" s="1560" t="s">
        <v>475</v>
      </c>
      <c r="C273" s="1477"/>
      <c r="D273" s="1477"/>
      <c r="E273" s="1477"/>
      <c r="F273" s="1477"/>
      <c r="G273" s="1477"/>
      <c r="H273" s="1478"/>
      <c r="I273" s="868" t="str">
        <f t="shared" si="18"/>
        <v>-</v>
      </c>
      <c r="J273" s="866">
        <f>J227+J234+J245+J254+J267+J272</f>
        <v>0</v>
      </c>
      <c r="K273" s="900"/>
      <c r="L273" s="900"/>
    </row>
    <row r="274" spans="2:12" ht="15.75" hidden="1" customHeight="1" outlineLevel="1">
      <c r="B274" s="743" t="s">
        <v>314</v>
      </c>
      <c r="C274" s="1561" t="s">
        <v>251</v>
      </c>
      <c r="D274" s="1477"/>
      <c r="E274" s="1477"/>
      <c r="F274" s="1477"/>
      <c r="G274" s="1477"/>
      <c r="H274" s="1478"/>
      <c r="I274" s="868">
        <f t="shared" si="18"/>
        <v>0.06</v>
      </c>
      <c r="J274" s="796">
        <f>ROUND(I274*J273,2)</f>
        <v>0</v>
      </c>
      <c r="K274" s="900"/>
      <c r="L274" s="900"/>
    </row>
    <row r="275" spans="2:12" ht="15.75" hidden="1" customHeight="1" outlineLevel="1">
      <c r="B275" s="1560" t="s">
        <v>476</v>
      </c>
      <c r="C275" s="1477"/>
      <c r="D275" s="1477"/>
      <c r="E275" s="1477"/>
      <c r="F275" s="1477"/>
      <c r="G275" s="1477"/>
      <c r="H275" s="1478"/>
      <c r="I275" s="868" t="str">
        <f t="shared" si="18"/>
        <v>-</v>
      </c>
      <c r="J275" s="866">
        <f>SUM(J271+J272+J274)</f>
        <v>0</v>
      </c>
      <c r="K275" s="900"/>
      <c r="L275" s="900"/>
    </row>
    <row r="276" spans="2:12" ht="15.75" hidden="1" customHeight="1" outlineLevel="1">
      <c r="B276" s="870" t="s">
        <v>316</v>
      </c>
      <c r="C276" s="1559" t="s">
        <v>477</v>
      </c>
      <c r="D276" s="1477"/>
      <c r="E276" s="1477"/>
      <c r="F276" s="1477"/>
      <c r="G276" s="1477"/>
      <c r="H276" s="1478"/>
      <c r="I276" s="868" t="str">
        <f t="shared" si="18"/>
        <v>-</v>
      </c>
      <c r="J276" s="769" t="s">
        <v>325</v>
      </c>
      <c r="K276" s="900"/>
      <c r="L276" s="900"/>
    </row>
    <row r="277" spans="2:12" ht="15.75" hidden="1" customHeight="1" outlineLevel="1">
      <c r="B277" s="743"/>
      <c r="C277" s="1589" t="s">
        <v>478</v>
      </c>
      <c r="D277" s="1477"/>
      <c r="E277" s="1477"/>
      <c r="F277" s="1477"/>
      <c r="G277" s="1477"/>
      <c r="H277" s="1478"/>
      <c r="I277" s="868" t="str">
        <f t="shared" si="18"/>
        <v>-</v>
      </c>
      <c r="J277" s="769" t="s">
        <v>325</v>
      </c>
      <c r="K277" s="900"/>
      <c r="L277" s="900"/>
    </row>
    <row r="278" spans="2:12" ht="15.75" hidden="1" customHeight="1" outlineLevel="1">
      <c r="B278" s="743"/>
      <c r="C278" s="1590" t="s">
        <v>849</v>
      </c>
      <c r="D278" s="1477"/>
      <c r="E278" s="1477"/>
      <c r="F278" s="1477"/>
      <c r="G278" s="1477"/>
      <c r="H278" s="1478"/>
      <c r="I278" s="868">
        <f t="shared" si="18"/>
        <v>1.6500000000000001E-2</v>
      </c>
      <c r="J278" s="758">
        <f t="shared" ref="J278:J279" si="19">ROUND(($J$275/(1-$I$179))*I278,2)</f>
        <v>0</v>
      </c>
      <c r="K278" s="900"/>
      <c r="L278" s="900"/>
    </row>
    <row r="279" spans="2:12" ht="15.75" hidden="1" customHeight="1" outlineLevel="1">
      <c r="B279" s="743"/>
      <c r="C279" s="1590" t="s">
        <v>850</v>
      </c>
      <c r="D279" s="1477"/>
      <c r="E279" s="1477"/>
      <c r="F279" s="1477"/>
      <c r="G279" s="1477"/>
      <c r="H279" s="1478"/>
      <c r="I279" s="868">
        <f t="shared" si="18"/>
        <v>7.5999999999999998E-2</v>
      </c>
      <c r="J279" s="758">
        <f t="shared" si="19"/>
        <v>0</v>
      </c>
      <c r="K279" s="900"/>
      <c r="L279" s="900"/>
    </row>
    <row r="280" spans="2:12" ht="15.75" hidden="1" customHeight="1" outlineLevel="1">
      <c r="B280" s="743"/>
      <c r="C280" s="1577" t="s">
        <v>851</v>
      </c>
      <c r="D280" s="1477"/>
      <c r="E280" s="1477"/>
      <c r="F280" s="1477"/>
      <c r="G280" s="1477"/>
      <c r="H280" s="1478"/>
      <c r="I280" s="868" t="str">
        <f t="shared" si="18"/>
        <v>-</v>
      </c>
      <c r="J280" s="769" t="s">
        <v>325</v>
      </c>
      <c r="K280" s="900"/>
      <c r="L280" s="900"/>
    </row>
    <row r="281" spans="2:12" ht="15.75" hidden="1" customHeight="1" outlineLevel="1">
      <c r="B281" s="743"/>
      <c r="C281" s="1577" t="s">
        <v>852</v>
      </c>
      <c r="D281" s="1477"/>
      <c r="E281" s="1477"/>
      <c r="F281" s="1477"/>
      <c r="G281" s="1477"/>
      <c r="H281" s="1478"/>
      <c r="I281" s="868" t="str">
        <f t="shared" si="18"/>
        <v>-</v>
      </c>
      <c r="J281" s="769" t="s">
        <v>325</v>
      </c>
      <c r="K281" s="900"/>
      <c r="L281" s="900"/>
    </row>
    <row r="282" spans="2:12" ht="15.75" hidden="1" customHeight="1" outlineLevel="1">
      <c r="B282" s="743"/>
      <c r="C282" s="1577" t="s">
        <v>483</v>
      </c>
      <c r="D282" s="1477"/>
      <c r="E282" s="1477"/>
      <c r="F282" s="1477"/>
      <c r="G282" s="1477"/>
      <c r="H282" s="1477"/>
      <c r="I282" s="868" t="str">
        <f t="shared" si="18"/>
        <v>-</v>
      </c>
      <c r="J282" s="769" t="s">
        <v>325</v>
      </c>
      <c r="K282" s="900"/>
      <c r="L282" s="900"/>
    </row>
    <row r="283" spans="2:12" ht="15.75" hidden="1" customHeight="1" outlineLevel="1">
      <c r="B283" s="743"/>
      <c r="C283" s="1577" t="s">
        <v>484</v>
      </c>
      <c r="D283" s="1477"/>
      <c r="E283" s="1477"/>
      <c r="F283" s="1477"/>
      <c r="G283" s="1477"/>
      <c r="H283" s="1477"/>
      <c r="I283" s="868" t="str">
        <f t="shared" si="18"/>
        <v>-</v>
      </c>
      <c r="J283" s="769" t="s">
        <v>325</v>
      </c>
      <c r="K283" s="900"/>
      <c r="L283" s="900"/>
    </row>
    <row r="284" spans="2:12" ht="15.75" hidden="1" customHeight="1" outlineLevel="1">
      <c r="B284" s="743"/>
      <c r="C284" s="1577" t="s">
        <v>485</v>
      </c>
      <c r="D284" s="1477"/>
      <c r="E284" s="1477"/>
      <c r="F284" s="1477"/>
      <c r="G284" s="1477"/>
      <c r="H284" s="1478"/>
      <c r="I284" s="868">
        <f t="shared" si="18"/>
        <v>0.02</v>
      </c>
      <c r="J284" s="758">
        <f>ROUND(($J$275/(1-$I$179))*I284,2)</f>
        <v>0</v>
      </c>
      <c r="K284" s="900"/>
      <c r="L284" s="900"/>
    </row>
    <row r="285" spans="2:12" ht="15.75" hidden="1" customHeight="1" outlineLevel="1">
      <c r="B285" s="1585" t="s">
        <v>441</v>
      </c>
      <c r="C285" s="1477"/>
      <c r="D285" s="1477"/>
      <c r="E285" s="1477"/>
      <c r="F285" s="1477"/>
      <c r="G285" s="1477"/>
      <c r="H285" s="1477"/>
      <c r="I285" s="1478"/>
      <c r="J285" s="788">
        <f>SUM(J272+J274+J278+J279+J284)</f>
        <v>0</v>
      </c>
      <c r="K285" s="900"/>
      <c r="L285" s="900"/>
    </row>
    <row r="286" spans="2:12" ht="15.75" hidden="1" customHeight="1" outlineLevel="1">
      <c r="B286" s="908"/>
      <c r="C286" s="908"/>
      <c r="D286" s="908"/>
      <c r="E286" s="908"/>
      <c r="F286" s="908"/>
      <c r="G286" s="908"/>
      <c r="H286" s="908"/>
      <c r="I286" s="908"/>
      <c r="J286" s="908"/>
      <c r="K286" s="900"/>
      <c r="L286" s="900"/>
    </row>
    <row r="287" spans="2:12" ht="15.75" hidden="1" customHeight="1" outlineLevel="1">
      <c r="B287" s="1572" t="s">
        <v>554</v>
      </c>
      <c r="C287" s="1477"/>
      <c r="D287" s="1477"/>
      <c r="E287" s="1477"/>
      <c r="F287" s="1477"/>
      <c r="G287" s="1477"/>
      <c r="H287" s="1477"/>
      <c r="I287" s="1478"/>
      <c r="J287" s="863" t="s">
        <v>390</v>
      </c>
      <c r="K287" s="900"/>
      <c r="L287" s="900"/>
    </row>
    <row r="288" spans="2:12" ht="15.75" hidden="1" customHeight="1" outlineLevel="1">
      <c r="B288" s="880" t="s">
        <v>312</v>
      </c>
      <c r="C288" s="1599" t="s">
        <v>494</v>
      </c>
      <c r="D288" s="1477"/>
      <c r="E288" s="1477"/>
      <c r="F288" s="1477"/>
      <c r="G288" s="1477"/>
      <c r="H288" s="1477"/>
      <c r="I288" s="1477"/>
      <c r="J288" s="881">
        <f>J227</f>
        <v>0</v>
      </c>
      <c r="K288" s="900"/>
      <c r="L288" s="900"/>
    </row>
    <row r="289" spans="2:12" ht="15.75" hidden="1" customHeight="1" outlineLevel="1">
      <c r="B289" s="880" t="s">
        <v>314</v>
      </c>
      <c r="C289" s="1599" t="s">
        <v>495</v>
      </c>
      <c r="D289" s="1477"/>
      <c r="E289" s="1477"/>
      <c r="F289" s="1477"/>
      <c r="G289" s="1477"/>
      <c r="H289" s="1477"/>
      <c r="I289" s="1477"/>
      <c r="J289" s="881">
        <f>J234+J245</f>
        <v>0</v>
      </c>
      <c r="K289" s="900"/>
      <c r="L289" s="900"/>
    </row>
    <row r="290" spans="2:12" ht="15.75" hidden="1" customHeight="1" outlineLevel="1">
      <c r="B290" s="880" t="s">
        <v>316</v>
      </c>
      <c r="C290" s="1599" t="s">
        <v>496</v>
      </c>
      <c r="D290" s="1477"/>
      <c r="E290" s="1477"/>
      <c r="F290" s="1477"/>
      <c r="G290" s="1477"/>
      <c r="H290" s="1477"/>
      <c r="I290" s="1477"/>
      <c r="J290" s="881">
        <f>J254</f>
        <v>0</v>
      </c>
      <c r="K290" s="900"/>
      <c r="L290" s="900"/>
    </row>
    <row r="291" spans="2:12" ht="15.75" hidden="1" customHeight="1" outlineLevel="1">
      <c r="B291" s="880" t="s">
        <v>318</v>
      </c>
      <c r="C291" s="1599" t="s">
        <v>497</v>
      </c>
      <c r="D291" s="1477"/>
      <c r="E291" s="1477"/>
      <c r="F291" s="1477"/>
      <c r="G291" s="1477"/>
      <c r="H291" s="1477"/>
      <c r="I291" s="1477"/>
      <c r="J291" s="881">
        <f>J267</f>
        <v>0</v>
      </c>
      <c r="K291" s="900"/>
      <c r="L291" s="900"/>
    </row>
    <row r="292" spans="2:12" ht="15.75" hidden="1" customHeight="1" outlineLevel="1">
      <c r="B292" s="880" t="s">
        <v>360</v>
      </c>
      <c r="C292" s="1599" t="s">
        <v>498</v>
      </c>
      <c r="D292" s="1477"/>
      <c r="E292" s="1477"/>
      <c r="F292" s="1477"/>
      <c r="G292" s="1477"/>
      <c r="H292" s="1477"/>
      <c r="I292" s="1477"/>
      <c r="J292" s="881">
        <v>0</v>
      </c>
      <c r="K292" s="900"/>
      <c r="L292" s="900"/>
    </row>
    <row r="293" spans="2:12" ht="15.75" hidden="1" customHeight="1" outlineLevel="1">
      <c r="B293" s="1600" t="s">
        <v>499</v>
      </c>
      <c r="C293" s="1477"/>
      <c r="D293" s="1477"/>
      <c r="E293" s="1477"/>
      <c r="F293" s="1477"/>
      <c r="G293" s="1477"/>
      <c r="H293" s="1477"/>
      <c r="I293" s="1521"/>
      <c r="J293" s="857">
        <f>SUM(J288:J292)</f>
        <v>0</v>
      </c>
      <c r="K293" s="900"/>
      <c r="L293" s="900"/>
    </row>
    <row r="294" spans="2:12" ht="15.75" hidden="1" customHeight="1" outlineLevel="1">
      <c r="B294" s="882" t="s">
        <v>364</v>
      </c>
      <c r="C294" s="1599" t="s">
        <v>471</v>
      </c>
      <c r="D294" s="1477"/>
      <c r="E294" s="1477"/>
      <c r="F294" s="1477"/>
      <c r="G294" s="1477"/>
      <c r="H294" s="1477"/>
      <c r="I294" s="1477"/>
      <c r="J294" s="881">
        <f>J285</f>
        <v>0</v>
      </c>
      <c r="K294" s="900"/>
      <c r="L294" s="900"/>
    </row>
    <row r="295" spans="2:12" ht="15.75" hidden="1" customHeight="1" outlineLevel="1">
      <c r="B295" s="1601" t="s">
        <v>555</v>
      </c>
      <c r="C295" s="1477"/>
      <c r="D295" s="1477"/>
      <c r="E295" s="1477"/>
      <c r="F295" s="1477"/>
      <c r="G295" s="1477"/>
      <c r="H295" s="1477"/>
      <c r="I295" s="1521"/>
      <c r="J295" s="928">
        <f>J293+J294</f>
        <v>0</v>
      </c>
      <c r="K295" s="897" t="s">
        <v>556</v>
      </c>
      <c r="L295" s="897" t="str">
        <f>L203</f>
        <v>3341-05_INSTRUTOR-de-ALUNOS_20hs</v>
      </c>
    </row>
    <row r="296" spans="2:12" ht="15.75" hidden="1" customHeight="1" outlineLevel="1">
      <c r="B296" s="908"/>
      <c r="C296" s="908"/>
      <c r="D296" s="908"/>
      <c r="E296" s="908"/>
      <c r="F296" s="908"/>
      <c r="G296" s="908"/>
      <c r="H296" s="908"/>
      <c r="I296" s="908"/>
      <c r="J296" s="908"/>
      <c r="K296" s="900"/>
      <c r="L296" s="900"/>
    </row>
    <row r="297" spans="2:12" ht="42" hidden="1" customHeight="1" outlineLevel="1">
      <c r="B297" s="929" t="s">
        <v>557</v>
      </c>
      <c r="C297" s="906"/>
      <c r="D297" s="906"/>
      <c r="E297" s="906"/>
      <c r="F297" s="906"/>
      <c r="G297" s="1023" t="str">
        <f>G219</f>
        <v>3341-05_INSTRUTOR-de-ALUNOS_20hs</v>
      </c>
      <c r="H297" s="906"/>
      <c r="I297" s="906"/>
      <c r="J297" s="906"/>
      <c r="K297" s="900"/>
      <c r="L297" s="900"/>
    </row>
    <row r="298" spans="2:12" ht="15.75" hidden="1" customHeight="1" outlineLevel="1">
      <c r="B298" s="931"/>
      <c r="C298" s="931"/>
      <c r="D298" s="931"/>
      <c r="E298" s="931"/>
      <c r="F298" s="931"/>
      <c r="G298" s="931"/>
      <c r="H298" s="931"/>
      <c r="I298" s="931"/>
      <c r="J298" s="931"/>
      <c r="K298" s="900"/>
      <c r="L298" s="900"/>
    </row>
    <row r="299" spans="2:12" ht="15.75" hidden="1" customHeight="1" outlineLevel="1">
      <c r="B299" s="1602" t="s">
        <v>410</v>
      </c>
      <c r="C299" s="1477"/>
      <c r="D299" s="1477"/>
      <c r="E299" s="1477"/>
      <c r="F299" s="1477"/>
      <c r="G299" s="1477"/>
      <c r="H299" s="1477"/>
      <c r="I299" s="1477"/>
      <c r="J299" s="1478"/>
      <c r="K299" s="900"/>
      <c r="L299" s="900"/>
    </row>
    <row r="300" spans="2:12" ht="15.75" hidden="1" customHeight="1" outlineLevel="1">
      <c r="B300" s="805" t="s">
        <v>411</v>
      </c>
      <c r="C300" s="1603" t="s">
        <v>558</v>
      </c>
      <c r="D300" s="1477"/>
      <c r="E300" s="1477"/>
      <c r="F300" s="1477"/>
      <c r="G300" s="1477"/>
      <c r="H300" s="1477"/>
      <c r="I300" s="1478"/>
      <c r="J300" s="806" t="s">
        <v>390</v>
      </c>
      <c r="K300" s="900"/>
      <c r="L300" s="900"/>
    </row>
    <row r="301" spans="2:12" ht="30.75" hidden="1" customHeight="1" outlineLevel="1">
      <c r="B301" s="932" t="s">
        <v>559</v>
      </c>
      <c r="C301" s="932" t="s">
        <v>560</v>
      </c>
      <c r="D301" s="933" t="s">
        <v>561</v>
      </c>
      <c r="E301" s="932" t="s">
        <v>562</v>
      </c>
      <c r="F301" s="934" t="s">
        <v>563</v>
      </c>
      <c r="G301" s="932" t="s">
        <v>564</v>
      </c>
      <c r="H301" s="935" t="s">
        <v>565</v>
      </c>
      <c r="I301" s="936"/>
      <c r="J301" s="937"/>
      <c r="K301" s="900"/>
      <c r="L301" s="900"/>
    </row>
    <row r="302" spans="2:12" ht="30.75" hidden="1" customHeight="1" outlineLevel="1">
      <c r="B302" s="1604" t="s">
        <v>566</v>
      </c>
      <c r="C302" s="938" t="s">
        <v>567</v>
      </c>
      <c r="D302" s="939">
        <v>425</v>
      </c>
      <c r="E302" s="940" t="s">
        <v>568</v>
      </c>
      <c r="F302" s="941">
        <v>380</v>
      </c>
      <c r="G302" s="942" t="s">
        <v>569</v>
      </c>
      <c r="H302" s="943">
        <v>335</v>
      </c>
      <c r="I302" s="944"/>
      <c r="J302" s="945">
        <f>(D302*D303)+(F302*F303)+(H302*H303)</f>
        <v>0</v>
      </c>
      <c r="K302" s="900"/>
      <c r="L302" s="900"/>
    </row>
    <row r="303" spans="2:12" ht="30.75" hidden="1" customHeight="1" outlineLevel="1">
      <c r="B303" s="1605"/>
      <c r="C303" s="946" t="s">
        <v>570</v>
      </c>
      <c r="D303" s="947">
        <v>0</v>
      </c>
      <c r="E303" s="946" t="s">
        <v>571</v>
      </c>
      <c r="F303" s="947">
        <v>0</v>
      </c>
      <c r="G303" s="946" t="s">
        <v>572</v>
      </c>
      <c r="H303" s="948">
        <v>0</v>
      </c>
      <c r="I303" s="949"/>
      <c r="J303" s="950"/>
      <c r="K303" s="900"/>
      <c r="L303" s="900"/>
    </row>
    <row r="304" spans="2:12" ht="15.75" hidden="1" customHeight="1" outlineLevel="1">
      <c r="B304" s="1026"/>
      <c r="C304" s="1585" t="s">
        <v>393</v>
      </c>
      <c r="D304" s="1477"/>
      <c r="E304" s="1477"/>
      <c r="F304" s="1477"/>
      <c r="G304" s="1477"/>
      <c r="H304" s="1477"/>
      <c r="I304" s="1521"/>
      <c r="J304" s="788">
        <f>J302</f>
        <v>0</v>
      </c>
      <c r="K304" s="900"/>
      <c r="L304" s="900"/>
    </row>
    <row r="305" spans="2:12" ht="15.75" hidden="1" customHeight="1" outlineLevel="1">
      <c r="B305" s="908"/>
      <c r="C305" s="908"/>
      <c r="D305" s="908"/>
      <c r="E305" s="908"/>
      <c r="F305" s="908"/>
      <c r="G305" s="908"/>
      <c r="H305" s="908"/>
      <c r="I305" s="908"/>
      <c r="J305" s="908"/>
      <c r="K305" s="900"/>
      <c r="L305" s="900"/>
    </row>
    <row r="306" spans="2:12" ht="15.75" hidden="1" customHeight="1" outlineLevel="1">
      <c r="B306" s="805">
        <v>6</v>
      </c>
      <c r="C306" s="1555" t="s">
        <v>853</v>
      </c>
      <c r="D306" s="1477"/>
      <c r="E306" s="1477"/>
      <c r="F306" s="1477"/>
      <c r="G306" s="1477"/>
      <c r="H306" s="1478"/>
      <c r="I306" s="863" t="s">
        <v>354</v>
      </c>
      <c r="J306" s="864" t="s">
        <v>398</v>
      </c>
      <c r="K306" s="900"/>
      <c r="L306" s="900"/>
    </row>
    <row r="307" spans="2:12" ht="15.75" hidden="1" customHeight="1" outlineLevel="1">
      <c r="B307" s="1560" t="s">
        <v>473</v>
      </c>
      <c r="C307" s="1477"/>
      <c r="D307" s="1477"/>
      <c r="E307" s="1477"/>
      <c r="F307" s="1477"/>
      <c r="G307" s="1477"/>
      <c r="H307" s="1478"/>
      <c r="I307" s="434" t="str">
        <f t="shared" ref="I307:I320" si="20">I271</f>
        <v>-</v>
      </c>
      <c r="J307" s="866">
        <f>J304</f>
        <v>0</v>
      </c>
      <c r="K307" s="900"/>
      <c r="L307" s="900"/>
    </row>
    <row r="308" spans="2:12" ht="15.75" hidden="1" customHeight="1" outlineLevel="1">
      <c r="B308" s="743" t="s">
        <v>312</v>
      </c>
      <c r="C308" s="1561" t="s">
        <v>474</v>
      </c>
      <c r="D308" s="1477"/>
      <c r="E308" s="1477"/>
      <c r="F308" s="1477"/>
      <c r="G308" s="1477"/>
      <c r="H308" s="1478"/>
      <c r="I308" s="868">
        <f t="shared" si="20"/>
        <v>0.06</v>
      </c>
      <c r="J308" s="796">
        <f>ROUND(I308*J307,2)</f>
        <v>0</v>
      </c>
      <c r="K308" s="900"/>
      <c r="L308" s="900"/>
    </row>
    <row r="309" spans="2:12" ht="15.75" hidden="1" customHeight="1" outlineLevel="1">
      <c r="B309" s="1560" t="s">
        <v>475</v>
      </c>
      <c r="C309" s="1477"/>
      <c r="D309" s="1477"/>
      <c r="E309" s="1477"/>
      <c r="F309" s="1477"/>
      <c r="G309" s="1477"/>
      <c r="H309" s="1478"/>
      <c r="I309" s="868" t="str">
        <f t="shared" si="20"/>
        <v>-</v>
      </c>
      <c r="J309" s="866">
        <f>J307+J308</f>
        <v>0</v>
      </c>
      <c r="K309" s="900"/>
      <c r="L309" s="900"/>
    </row>
    <row r="310" spans="2:12" ht="15.75" hidden="1" customHeight="1" outlineLevel="1">
      <c r="B310" s="743" t="s">
        <v>314</v>
      </c>
      <c r="C310" s="1561" t="s">
        <v>251</v>
      </c>
      <c r="D310" s="1477"/>
      <c r="E310" s="1477"/>
      <c r="F310" s="1477"/>
      <c r="G310" s="1477"/>
      <c r="H310" s="1478"/>
      <c r="I310" s="868">
        <f t="shared" si="20"/>
        <v>0.06</v>
      </c>
      <c r="J310" s="796">
        <f>ROUND(I310*J309,2)</f>
        <v>0</v>
      </c>
      <c r="K310" s="900"/>
      <c r="L310" s="900"/>
    </row>
    <row r="311" spans="2:12" ht="15.75" hidden="1" customHeight="1" outlineLevel="1">
      <c r="B311" s="1560" t="s">
        <v>476</v>
      </c>
      <c r="C311" s="1477"/>
      <c r="D311" s="1477"/>
      <c r="E311" s="1477"/>
      <c r="F311" s="1477"/>
      <c r="G311" s="1477"/>
      <c r="H311" s="1478"/>
      <c r="I311" s="868" t="str">
        <f t="shared" si="20"/>
        <v>-</v>
      </c>
      <c r="J311" s="866">
        <f>SUM(J307+J308+J310)</f>
        <v>0</v>
      </c>
      <c r="K311" s="900"/>
      <c r="L311" s="900"/>
    </row>
    <row r="312" spans="2:12" ht="15.75" hidden="1" customHeight="1" outlineLevel="1">
      <c r="B312" s="870" t="s">
        <v>316</v>
      </c>
      <c r="C312" s="1559" t="s">
        <v>477</v>
      </c>
      <c r="D312" s="1477"/>
      <c r="E312" s="1477"/>
      <c r="F312" s="1477"/>
      <c r="G312" s="1477"/>
      <c r="H312" s="1478"/>
      <c r="I312" s="868" t="str">
        <f t="shared" si="20"/>
        <v>-</v>
      </c>
      <c r="J312" s="769" t="s">
        <v>325</v>
      </c>
      <c r="K312" s="900"/>
      <c r="L312" s="900"/>
    </row>
    <row r="313" spans="2:12" ht="15.75" hidden="1" customHeight="1" outlineLevel="1">
      <c r="B313" s="743"/>
      <c r="C313" s="1589" t="s">
        <v>478</v>
      </c>
      <c r="D313" s="1477"/>
      <c r="E313" s="1477"/>
      <c r="F313" s="1477"/>
      <c r="G313" s="1477"/>
      <c r="H313" s="1478"/>
      <c r="I313" s="868" t="str">
        <f t="shared" si="20"/>
        <v>-</v>
      </c>
      <c r="J313" s="769" t="s">
        <v>325</v>
      </c>
      <c r="K313" s="900"/>
      <c r="L313" s="900"/>
    </row>
    <row r="314" spans="2:12" ht="15.75" hidden="1" customHeight="1" outlineLevel="1">
      <c r="B314" s="743"/>
      <c r="C314" s="1590" t="s">
        <v>854</v>
      </c>
      <c r="D314" s="1477"/>
      <c r="E314" s="1477"/>
      <c r="F314" s="1477"/>
      <c r="G314" s="1477"/>
      <c r="H314" s="1478"/>
      <c r="I314" s="868">
        <f t="shared" si="20"/>
        <v>1.6500000000000001E-2</v>
      </c>
      <c r="J314" s="758">
        <f t="shared" ref="J314:J315" si="21">ROUND(($J$311/(1-$I$179))*I314,2)</f>
        <v>0</v>
      </c>
      <c r="K314" s="900"/>
      <c r="L314" s="900"/>
    </row>
    <row r="315" spans="2:12" ht="15.75" hidden="1" customHeight="1" outlineLevel="1">
      <c r="B315" s="743"/>
      <c r="C315" s="1590" t="s">
        <v>855</v>
      </c>
      <c r="D315" s="1477"/>
      <c r="E315" s="1477"/>
      <c r="F315" s="1477"/>
      <c r="G315" s="1477"/>
      <c r="H315" s="1478"/>
      <c r="I315" s="868">
        <f t="shared" si="20"/>
        <v>7.5999999999999998E-2</v>
      </c>
      <c r="J315" s="758">
        <f t="shared" si="21"/>
        <v>0</v>
      </c>
      <c r="K315" s="900"/>
      <c r="L315" s="900"/>
    </row>
    <row r="316" spans="2:12" ht="15.75" hidden="1" customHeight="1" outlineLevel="1">
      <c r="B316" s="743"/>
      <c r="C316" s="1577" t="s">
        <v>856</v>
      </c>
      <c r="D316" s="1477"/>
      <c r="E316" s="1477"/>
      <c r="F316" s="1477"/>
      <c r="G316" s="1477"/>
      <c r="H316" s="1478"/>
      <c r="I316" s="868" t="str">
        <f t="shared" si="20"/>
        <v>-</v>
      </c>
      <c r="J316" s="951" t="s">
        <v>325</v>
      </c>
      <c r="K316" s="952"/>
      <c r="L316" s="953"/>
    </row>
    <row r="317" spans="2:12" ht="15.75" hidden="1" customHeight="1" outlineLevel="1">
      <c r="B317" s="743"/>
      <c r="C317" s="1577" t="s">
        <v>857</v>
      </c>
      <c r="D317" s="1477"/>
      <c r="E317" s="1477"/>
      <c r="F317" s="1477"/>
      <c r="G317" s="1477"/>
      <c r="H317" s="1478"/>
      <c r="I317" s="868" t="str">
        <f t="shared" si="20"/>
        <v>-</v>
      </c>
      <c r="J317" s="769" t="s">
        <v>325</v>
      </c>
      <c r="K317" s="900"/>
      <c r="L317" s="900"/>
    </row>
    <row r="318" spans="2:12" ht="15.75" hidden="1" customHeight="1" outlineLevel="1">
      <c r="B318" s="743"/>
      <c r="C318" s="1577" t="s">
        <v>483</v>
      </c>
      <c r="D318" s="1477"/>
      <c r="E318" s="1477"/>
      <c r="F318" s="1477"/>
      <c r="G318" s="1477"/>
      <c r="H318" s="1477"/>
      <c r="I318" s="868" t="str">
        <f t="shared" si="20"/>
        <v>-</v>
      </c>
      <c r="J318" s="769" t="s">
        <v>325</v>
      </c>
      <c r="K318" s="900"/>
      <c r="L318" s="900"/>
    </row>
    <row r="319" spans="2:12" ht="15.75" hidden="1" customHeight="1" outlineLevel="1">
      <c r="B319" s="743"/>
      <c r="C319" s="1577" t="s">
        <v>484</v>
      </c>
      <c r="D319" s="1477"/>
      <c r="E319" s="1477"/>
      <c r="F319" s="1477"/>
      <c r="G319" s="1477"/>
      <c r="H319" s="1477"/>
      <c r="I319" s="868" t="str">
        <f t="shared" si="20"/>
        <v>-</v>
      </c>
      <c r="J319" s="769" t="s">
        <v>325</v>
      </c>
      <c r="K319" s="900"/>
      <c r="L319" s="900"/>
    </row>
    <row r="320" spans="2:12" ht="15.75" hidden="1" customHeight="1" outlineLevel="1">
      <c r="B320" s="743"/>
      <c r="C320" s="1577" t="s">
        <v>485</v>
      </c>
      <c r="D320" s="1477"/>
      <c r="E320" s="1477"/>
      <c r="F320" s="1477"/>
      <c r="G320" s="1477"/>
      <c r="H320" s="1478"/>
      <c r="I320" s="868">
        <f t="shared" si="20"/>
        <v>0.02</v>
      </c>
      <c r="J320" s="758">
        <f>ROUND(($J$311/(1-$I$179))*I320,2)</f>
        <v>0</v>
      </c>
      <c r="K320" s="900"/>
      <c r="L320" s="900"/>
    </row>
    <row r="321" spans="2:12" ht="15.75" hidden="1" customHeight="1" outlineLevel="1">
      <c r="B321" s="1585" t="s">
        <v>441</v>
      </c>
      <c r="C321" s="1477"/>
      <c r="D321" s="1477"/>
      <c r="E321" s="1477"/>
      <c r="F321" s="1477"/>
      <c r="G321" s="1477"/>
      <c r="H321" s="1477"/>
      <c r="I321" s="1478"/>
      <c r="J321" s="788">
        <f>SUM(J308+J310+J314+J315+J320)</f>
        <v>0</v>
      </c>
      <c r="K321" s="900"/>
      <c r="L321" s="900"/>
    </row>
    <row r="322" spans="2:12" ht="15.75" hidden="1" customHeight="1" outlineLevel="1">
      <c r="B322" s="908"/>
      <c r="C322" s="908"/>
      <c r="D322" s="908"/>
      <c r="E322" s="908"/>
      <c r="F322" s="908"/>
      <c r="G322" s="908"/>
      <c r="H322" s="908"/>
      <c r="I322" s="908"/>
      <c r="J322" s="908"/>
      <c r="K322" s="900"/>
      <c r="L322" s="900"/>
    </row>
    <row r="323" spans="2:12" ht="15.75" hidden="1" customHeight="1" outlineLevel="1">
      <c r="B323" s="1572" t="s">
        <v>577</v>
      </c>
      <c r="C323" s="1477"/>
      <c r="D323" s="1477"/>
      <c r="E323" s="1477"/>
      <c r="F323" s="1477"/>
      <c r="G323" s="1477"/>
      <c r="H323" s="1477"/>
      <c r="I323" s="1478"/>
      <c r="J323" s="863" t="s">
        <v>390</v>
      </c>
      <c r="K323" s="900"/>
      <c r="L323" s="900"/>
    </row>
    <row r="324" spans="2:12" ht="15.75" hidden="1" customHeight="1" outlineLevel="1">
      <c r="B324" s="880" t="s">
        <v>312</v>
      </c>
      <c r="C324" s="1599" t="s">
        <v>494</v>
      </c>
      <c r="D324" s="1477"/>
      <c r="E324" s="1477"/>
      <c r="F324" s="1477"/>
      <c r="G324" s="1477"/>
      <c r="H324" s="1477"/>
      <c r="I324" s="1477"/>
      <c r="J324" s="881">
        <v>0</v>
      </c>
      <c r="K324" s="900"/>
      <c r="L324" s="900"/>
    </row>
    <row r="325" spans="2:12" ht="15.75" hidden="1" customHeight="1" outlineLevel="1">
      <c r="B325" s="880" t="s">
        <v>314</v>
      </c>
      <c r="C325" s="1599" t="s">
        <v>578</v>
      </c>
      <c r="D325" s="1477"/>
      <c r="E325" s="1477"/>
      <c r="F325" s="1477"/>
      <c r="G325" s="1477"/>
      <c r="H325" s="1477"/>
      <c r="I325" s="1477"/>
      <c r="J325" s="881">
        <f>J304</f>
        <v>0</v>
      </c>
      <c r="K325" s="900"/>
      <c r="L325" s="900"/>
    </row>
    <row r="326" spans="2:12" ht="15.75" hidden="1" customHeight="1" outlineLevel="1">
      <c r="B326" s="880" t="s">
        <v>316</v>
      </c>
      <c r="C326" s="1599" t="s">
        <v>496</v>
      </c>
      <c r="D326" s="1477"/>
      <c r="E326" s="1477"/>
      <c r="F326" s="1477"/>
      <c r="G326" s="1477"/>
      <c r="H326" s="1477"/>
      <c r="I326" s="1477"/>
      <c r="J326" s="881">
        <v>0</v>
      </c>
      <c r="K326" s="900"/>
      <c r="L326" s="900"/>
    </row>
    <row r="327" spans="2:12" ht="15.75" hidden="1" customHeight="1" outlineLevel="1">
      <c r="B327" s="880" t="s">
        <v>318</v>
      </c>
      <c r="C327" s="1599" t="s">
        <v>497</v>
      </c>
      <c r="D327" s="1477"/>
      <c r="E327" s="1477"/>
      <c r="F327" s="1477"/>
      <c r="G327" s="1477"/>
      <c r="H327" s="1477"/>
      <c r="I327" s="1477"/>
      <c r="J327" s="881">
        <v>0</v>
      </c>
      <c r="K327" s="900"/>
      <c r="L327" s="900"/>
    </row>
    <row r="328" spans="2:12" ht="15.75" hidden="1" customHeight="1" outlineLevel="1">
      <c r="B328" s="880" t="s">
        <v>360</v>
      </c>
      <c r="C328" s="1599" t="s">
        <v>498</v>
      </c>
      <c r="D328" s="1477"/>
      <c r="E328" s="1477"/>
      <c r="F328" s="1477"/>
      <c r="G328" s="1477"/>
      <c r="H328" s="1477"/>
      <c r="I328" s="1477"/>
      <c r="J328" s="881">
        <v>0</v>
      </c>
      <c r="K328" s="900"/>
      <c r="L328" s="900"/>
    </row>
    <row r="329" spans="2:12" ht="15.75" hidden="1" customHeight="1" outlineLevel="1">
      <c r="B329" s="1600" t="s">
        <v>499</v>
      </c>
      <c r="C329" s="1477"/>
      <c r="D329" s="1477"/>
      <c r="E329" s="1477"/>
      <c r="F329" s="1477"/>
      <c r="G329" s="1477"/>
      <c r="H329" s="1477"/>
      <c r="I329" s="1521"/>
      <c r="J329" s="857">
        <f>SUM(J324:J328)</f>
        <v>0</v>
      </c>
      <c r="K329" s="900"/>
      <c r="L329" s="900"/>
    </row>
    <row r="330" spans="2:12" ht="15.75" hidden="1" customHeight="1" outlineLevel="1">
      <c r="B330" s="882" t="s">
        <v>364</v>
      </c>
      <c r="C330" s="1599" t="s">
        <v>471</v>
      </c>
      <c r="D330" s="1477"/>
      <c r="E330" s="1477"/>
      <c r="F330" s="1477"/>
      <c r="G330" s="1477"/>
      <c r="H330" s="1477"/>
      <c r="I330" s="1477"/>
      <c r="J330" s="881">
        <f>J321</f>
        <v>0</v>
      </c>
      <c r="K330" s="900"/>
      <c r="L330" s="900"/>
    </row>
    <row r="331" spans="2:12" ht="15.75" hidden="1" customHeight="1" outlineLevel="1">
      <c r="B331" s="1600" t="s">
        <v>579</v>
      </c>
      <c r="C331" s="1477"/>
      <c r="D331" s="1477"/>
      <c r="E331" s="1477"/>
      <c r="F331" s="1477"/>
      <c r="G331" s="1477"/>
      <c r="H331" s="1477"/>
      <c r="I331" s="1521"/>
      <c r="J331" s="954">
        <f>ROUND(J325+J321,2)</f>
        <v>0</v>
      </c>
      <c r="K331" s="897" t="s">
        <v>580</v>
      </c>
      <c r="L331" s="897" t="str">
        <f>L295</f>
        <v>3341-05_INSTRUTOR-de-ALUNOS_20hs</v>
      </c>
    </row>
    <row r="332" spans="2:12" ht="15.75" hidden="1" customHeight="1" outlineLevel="1">
      <c r="B332" s="908"/>
      <c r="C332" s="908"/>
      <c r="D332" s="908"/>
      <c r="E332" s="908"/>
      <c r="F332" s="908"/>
      <c r="G332" s="908"/>
      <c r="H332" s="908"/>
      <c r="I332" s="908"/>
      <c r="J332" s="908"/>
      <c r="K332" s="900"/>
      <c r="L332" s="900"/>
    </row>
    <row r="333" spans="2:12" ht="15.75" hidden="1" customHeight="1" outlineLevel="1">
      <c r="B333" s="1606" t="s">
        <v>581</v>
      </c>
      <c r="C333" s="1477"/>
      <c r="D333" s="1477"/>
      <c r="E333" s="1477"/>
      <c r="F333" s="1477"/>
      <c r="G333" s="1477"/>
      <c r="H333" s="1477"/>
      <c r="I333" s="1477"/>
      <c r="J333" s="1478"/>
      <c r="K333" s="900"/>
    </row>
    <row r="334" spans="2:12" ht="60.75" hidden="1" customHeight="1" outlineLevel="1">
      <c r="B334" s="1607" t="s">
        <v>503</v>
      </c>
      <c r="C334" s="1575"/>
      <c r="D334" s="1575"/>
      <c r="E334" s="1608"/>
      <c r="F334" s="955" t="s">
        <v>582</v>
      </c>
      <c r="G334" s="956" t="s">
        <v>858</v>
      </c>
      <c r="H334" s="957" t="s">
        <v>506</v>
      </c>
      <c r="I334" s="1607" t="s">
        <v>507</v>
      </c>
      <c r="J334" s="1608"/>
      <c r="K334" s="900"/>
    </row>
    <row r="335" spans="2:12" ht="41.25" hidden="1" customHeight="1" outlineLevel="1">
      <c r="B335" s="1609" t="str">
        <f>B203</f>
        <v>3341-05_INSTRUTOR-de-ALUNOS_20hs</v>
      </c>
      <c r="C335" s="1477"/>
      <c r="D335" s="1477"/>
      <c r="E335" s="1478"/>
      <c r="F335" s="958">
        <f>J331</f>
        <v>0</v>
      </c>
      <c r="G335" s="959">
        <f>G203</f>
        <v>1</v>
      </c>
      <c r="H335" s="960">
        <f>H207</f>
        <v>0</v>
      </c>
      <c r="I335" s="1610">
        <f>F335*G335</f>
        <v>0</v>
      </c>
      <c r="J335" s="1478"/>
      <c r="K335" s="900"/>
    </row>
    <row r="336" spans="2:12" ht="15.75" hidden="1" customHeight="1" outlineLevel="1">
      <c r="B336" s="1562"/>
      <c r="C336" s="1477"/>
      <c r="D336" s="1477"/>
      <c r="E336" s="1477"/>
      <c r="F336" s="1477"/>
      <c r="G336" s="1477"/>
      <c r="H336" s="1477"/>
      <c r="I336" s="1477"/>
      <c r="J336" s="1478"/>
      <c r="K336" s="900"/>
    </row>
    <row r="337" spans="2:11" ht="26.25" hidden="1" customHeight="1" outlineLevel="1">
      <c r="B337" s="1563" t="s">
        <v>584</v>
      </c>
      <c r="C337" s="1477"/>
      <c r="D337" s="1477"/>
      <c r="E337" s="1477"/>
      <c r="F337" s="1477"/>
      <c r="G337" s="1478"/>
      <c r="H337" s="1564">
        <f>I335</f>
        <v>0</v>
      </c>
      <c r="I337" s="1477"/>
      <c r="J337" s="1478"/>
      <c r="K337" s="900"/>
    </row>
    <row r="338" spans="2:11" ht="15.75" hidden="1" customHeight="1" outlineLevel="1">
      <c r="B338" s="1565"/>
      <c r="C338" s="1528"/>
      <c r="D338" s="1528"/>
      <c r="E338" s="1528"/>
      <c r="F338" s="1528"/>
      <c r="G338" s="1528"/>
      <c r="H338" s="1528"/>
      <c r="I338" s="1528"/>
      <c r="J338" s="1566"/>
      <c r="K338" s="900"/>
    </row>
    <row r="339" spans="2:11" ht="15.75" hidden="1" customHeight="1" outlineLevel="1">
      <c r="B339" s="1563" t="s">
        <v>517</v>
      </c>
      <c r="C339" s="1477"/>
      <c r="D339" s="1477"/>
      <c r="E339" s="1477"/>
      <c r="F339" s="1477"/>
      <c r="G339" s="1478"/>
      <c r="H339" s="1567">
        <f>$I$11</f>
        <v>30</v>
      </c>
      <c r="I339" s="1477"/>
      <c r="J339" s="1478"/>
      <c r="K339" s="900"/>
    </row>
    <row r="340" spans="2:11" ht="15.75" hidden="1" customHeight="1" outlineLevel="1">
      <c r="B340" s="1568"/>
      <c r="C340" s="1477"/>
      <c r="D340" s="1477"/>
      <c r="E340" s="1477"/>
      <c r="F340" s="1477"/>
      <c r="G340" s="1477"/>
      <c r="H340" s="1477"/>
      <c r="I340" s="1477"/>
      <c r="J340" s="1478"/>
      <c r="K340" s="900"/>
    </row>
    <row r="341" spans="2:11" ht="15.75" hidden="1" customHeight="1" outlineLevel="1">
      <c r="B341" s="1563" t="s">
        <v>859</v>
      </c>
      <c r="C341" s="1477"/>
      <c r="D341" s="1477"/>
      <c r="E341" s="1477"/>
      <c r="F341" s="1477"/>
      <c r="G341" s="1478"/>
      <c r="H341" s="1569">
        <f>ROUND(H337*H339,2)</f>
        <v>0</v>
      </c>
      <c r="I341" s="1477"/>
      <c r="J341" s="1478"/>
      <c r="K341" s="900"/>
    </row>
    <row r="342" spans="2:11" ht="15.75" hidden="1" customHeight="1" outlineLevel="1">
      <c r="B342" s="1570"/>
      <c r="C342" s="1477"/>
      <c r="D342" s="1477"/>
      <c r="E342" s="1477"/>
      <c r="F342" s="1477"/>
      <c r="G342" s="1477"/>
      <c r="H342" s="1477"/>
      <c r="I342" s="1477"/>
      <c r="J342" s="1478"/>
      <c r="K342" s="962"/>
    </row>
    <row r="343" spans="2:11" ht="15.75" hidden="1" customHeight="1" outlineLevel="1">
      <c r="B343" s="963"/>
      <c r="C343" s="964"/>
      <c r="D343" s="964"/>
      <c r="E343" s="964"/>
      <c r="F343" s="965"/>
      <c r="G343" s="965"/>
      <c r="H343" s="965"/>
      <c r="I343" s="966"/>
      <c r="J343" s="967"/>
      <c r="K343" s="904"/>
    </row>
    <row r="344" spans="2:11" ht="28.5" hidden="1" customHeight="1" outlineLevel="1">
      <c r="B344" s="1591" t="str">
        <f>B3</f>
        <v>3341-05_INSTRUTOR-de-ALUNOS_20hs</v>
      </c>
      <c r="C344" s="1419"/>
      <c r="D344" s="1419"/>
      <c r="E344" s="1592"/>
      <c r="F344" s="968">
        <f>I203</f>
        <v>2934.4300000000003</v>
      </c>
      <c r="G344" s="969">
        <f>G203</f>
        <v>1</v>
      </c>
      <c r="H344" s="969">
        <f>H207</f>
        <v>0</v>
      </c>
      <c r="I344" s="970">
        <f>F344*H344</f>
        <v>0</v>
      </c>
      <c r="J344" s="971">
        <f>I344*H339</f>
        <v>0</v>
      </c>
      <c r="K344" s="900"/>
    </row>
    <row r="345" spans="2:11" ht="28.5" hidden="1" customHeight="1" outlineLevel="1">
      <c r="B345" s="1593" t="str">
        <f>B219</f>
        <v>CALCULO DO CUSTO EXCLUSIVO de HORAS EXTRAS</v>
      </c>
      <c r="C345" s="1594"/>
      <c r="D345" s="1594"/>
      <c r="E345" s="1595"/>
      <c r="F345" s="972">
        <f>J295</f>
        <v>0</v>
      </c>
      <c r="G345" s="969">
        <f t="shared" ref="G345:H345" si="22">G344</f>
        <v>1</v>
      </c>
      <c r="H345" s="969">
        <f t="shared" si="22"/>
        <v>0</v>
      </c>
      <c r="I345" s="970">
        <f>IF(H335&gt;=1, F345*1, 0)</f>
        <v>0</v>
      </c>
      <c r="J345" s="971">
        <f>I345*H339</f>
        <v>0</v>
      </c>
      <c r="K345" s="900"/>
    </row>
    <row r="346" spans="2:11" ht="28.5" hidden="1" customHeight="1" outlineLevel="1">
      <c r="B346" s="1596" t="str">
        <f>B297</f>
        <v xml:space="preserve">CALCULO DO CUSTO EXCLUSIVO das DIÁRIAS </v>
      </c>
      <c r="C346" s="1597"/>
      <c r="D346" s="1597"/>
      <c r="E346" s="1598"/>
      <c r="F346" s="973">
        <f>J331</f>
        <v>0</v>
      </c>
      <c r="G346" s="974">
        <f t="shared" ref="G346:H346" si="23">G345</f>
        <v>1</v>
      </c>
      <c r="H346" s="974">
        <f t="shared" si="23"/>
        <v>0</v>
      </c>
      <c r="I346" s="975">
        <f>IF(H335&gt;=1, F346*1, 0)</f>
        <v>0</v>
      </c>
      <c r="J346" s="976">
        <f>I346*H339</f>
        <v>0</v>
      </c>
      <c r="K346" s="900"/>
    </row>
    <row r="347" spans="2:11" ht="45" hidden="1" customHeight="1" outlineLevel="1">
      <c r="B347" s="977" t="s">
        <v>586</v>
      </c>
      <c r="C347" s="978"/>
      <c r="D347" s="979" t="str">
        <f>G297</f>
        <v>3341-05_INSTRUTOR-de-ALUNOS_20hs</v>
      </c>
      <c r="E347" s="978"/>
      <c r="F347" s="978"/>
      <c r="G347" s="978"/>
      <c r="H347" s="978"/>
      <c r="I347" s="980"/>
      <c r="J347" s="981">
        <f>J344+J345+J346</f>
        <v>0</v>
      </c>
      <c r="K347" s="900"/>
    </row>
    <row r="348" spans="2:11" ht="15.75" customHeight="1">
      <c r="B348" s="908"/>
      <c r="C348" s="908"/>
      <c r="D348" s="908"/>
      <c r="E348" s="908"/>
      <c r="F348" s="908"/>
      <c r="G348" s="908"/>
      <c r="H348" s="908"/>
      <c r="I348" s="908"/>
      <c r="J348" s="1072"/>
      <c r="K348" s="900"/>
    </row>
    <row r="349" spans="2:11" ht="15.75" customHeight="1"/>
    <row r="350" spans="2:11" ht="15.75" customHeight="1"/>
    <row r="351" spans="2:11" ht="15.75" customHeight="1"/>
    <row r="352" spans="2:11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386">
    <mergeCell ref="B208:J208"/>
    <mergeCell ref="B209:J209"/>
    <mergeCell ref="I204:J204"/>
    <mergeCell ref="I205:J205"/>
    <mergeCell ref="I206:J206"/>
    <mergeCell ref="I207:J207"/>
    <mergeCell ref="B201:E201"/>
    <mergeCell ref="B202:E202"/>
    <mergeCell ref="F202:G202"/>
    <mergeCell ref="I202:J202"/>
    <mergeCell ref="B203:E203"/>
    <mergeCell ref="B204:E204"/>
    <mergeCell ref="F204:G204"/>
    <mergeCell ref="B205:E205"/>
    <mergeCell ref="F205:G205"/>
    <mergeCell ref="B206:E206"/>
    <mergeCell ref="F206:G206"/>
    <mergeCell ref="B207:G207"/>
    <mergeCell ref="B195:I195"/>
    <mergeCell ref="B196:J196"/>
    <mergeCell ref="B197:J197"/>
    <mergeCell ref="B199:J199"/>
    <mergeCell ref="B200:E200"/>
    <mergeCell ref="I200:J200"/>
    <mergeCell ref="F201:G201"/>
    <mergeCell ref="I201:J201"/>
    <mergeCell ref="I203:J203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C194:I194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C169:H169"/>
    <mergeCell ref="C170:H170"/>
    <mergeCell ref="C171:H171"/>
    <mergeCell ref="C172:H172"/>
    <mergeCell ref="C173:H173"/>
    <mergeCell ref="C174:H174"/>
    <mergeCell ref="C175:H175"/>
    <mergeCell ref="C176:H176"/>
    <mergeCell ref="B177:I177"/>
    <mergeCell ref="B159:J159"/>
    <mergeCell ref="B161:J161"/>
    <mergeCell ref="C162:H162"/>
    <mergeCell ref="B163:H163"/>
    <mergeCell ref="C164:H164"/>
    <mergeCell ref="B165:H165"/>
    <mergeCell ref="C166:H166"/>
    <mergeCell ref="B167:H167"/>
    <mergeCell ref="C168:H168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41:J141"/>
    <mergeCell ref="C142:I142"/>
    <mergeCell ref="C143:I143"/>
    <mergeCell ref="B144:I144"/>
    <mergeCell ref="B145:J145"/>
    <mergeCell ref="B146:J146"/>
    <mergeCell ref="C147:I147"/>
    <mergeCell ref="C148:I148"/>
    <mergeCell ref="C149:I149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H121"/>
    <mergeCell ref="C105:E105"/>
    <mergeCell ref="F105:H105"/>
    <mergeCell ref="C106:I106"/>
    <mergeCell ref="B107:J107"/>
    <mergeCell ref="B108:J108"/>
    <mergeCell ref="B109:J109"/>
    <mergeCell ref="B110:J110"/>
    <mergeCell ref="C111:I111"/>
    <mergeCell ref="C112:I112"/>
    <mergeCell ref="C96:G96"/>
    <mergeCell ref="C97:I97"/>
    <mergeCell ref="C98:H98"/>
    <mergeCell ref="C99:G99"/>
    <mergeCell ref="C100:G100"/>
    <mergeCell ref="C101:I101"/>
    <mergeCell ref="C102:I102"/>
    <mergeCell ref="C103:I103"/>
    <mergeCell ref="C104:I104"/>
    <mergeCell ref="B88:J88"/>
    <mergeCell ref="B89:J89"/>
    <mergeCell ref="B90:J90"/>
    <mergeCell ref="C91:I91"/>
    <mergeCell ref="C92:H92"/>
    <mergeCell ref="C93:H93"/>
    <mergeCell ref="C94:H94"/>
    <mergeCell ref="C95:E95"/>
    <mergeCell ref="F95:G95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333:J333"/>
    <mergeCell ref="B334:E334"/>
    <mergeCell ref="I334:J334"/>
    <mergeCell ref="B335:E335"/>
    <mergeCell ref="I335:J33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B323:I323"/>
    <mergeCell ref="C324:I324"/>
    <mergeCell ref="C325:I325"/>
    <mergeCell ref="C326:I326"/>
    <mergeCell ref="C327:I327"/>
    <mergeCell ref="C328:I328"/>
    <mergeCell ref="B329:I329"/>
    <mergeCell ref="C330:I330"/>
    <mergeCell ref="B331:I331"/>
    <mergeCell ref="C313:H313"/>
    <mergeCell ref="C314:H314"/>
    <mergeCell ref="C315:H315"/>
    <mergeCell ref="C316:H316"/>
    <mergeCell ref="C317:H317"/>
    <mergeCell ref="C318:H318"/>
    <mergeCell ref="C319:H319"/>
    <mergeCell ref="C320:H320"/>
    <mergeCell ref="B321:I321"/>
    <mergeCell ref="B302:B303"/>
    <mergeCell ref="C304:I304"/>
    <mergeCell ref="C306:H306"/>
    <mergeCell ref="B307:H307"/>
    <mergeCell ref="C308:H308"/>
    <mergeCell ref="B309:H309"/>
    <mergeCell ref="C310:H310"/>
    <mergeCell ref="B311:H311"/>
    <mergeCell ref="C312:H312"/>
    <mergeCell ref="C289:I289"/>
    <mergeCell ref="C290:I290"/>
    <mergeCell ref="C291:I291"/>
    <mergeCell ref="C292:I292"/>
    <mergeCell ref="B293:I293"/>
    <mergeCell ref="C294:I294"/>
    <mergeCell ref="B295:I295"/>
    <mergeCell ref="B299:J299"/>
    <mergeCell ref="C300:I300"/>
    <mergeCell ref="C277:H277"/>
    <mergeCell ref="C278:H278"/>
    <mergeCell ref="C279:H279"/>
    <mergeCell ref="B341:G341"/>
    <mergeCell ref="H341:J341"/>
    <mergeCell ref="B342:J342"/>
    <mergeCell ref="B344:E344"/>
    <mergeCell ref="B345:E345"/>
    <mergeCell ref="B346:E346"/>
    <mergeCell ref="B336:J336"/>
    <mergeCell ref="B337:G337"/>
    <mergeCell ref="H337:J337"/>
    <mergeCell ref="B338:J338"/>
    <mergeCell ref="B339:G339"/>
    <mergeCell ref="H339:J339"/>
    <mergeCell ref="B340:J340"/>
    <mergeCell ref="C280:H280"/>
    <mergeCell ref="C281:H281"/>
    <mergeCell ref="C282:H282"/>
    <mergeCell ref="C283:H283"/>
    <mergeCell ref="C284:H284"/>
    <mergeCell ref="B285:I285"/>
    <mergeCell ref="B287:I287"/>
    <mergeCell ref="C288:I288"/>
    <mergeCell ref="C250:I250"/>
    <mergeCell ref="C251:H251"/>
    <mergeCell ref="C252:I252"/>
    <mergeCell ref="C253:H253"/>
    <mergeCell ref="B254:I254"/>
    <mergeCell ref="B273:H273"/>
    <mergeCell ref="C274:H274"/>
    <mergeCell ref="B275:H275"/>
    <mergeCell ref="C276:H276"/>
    <mergeCell ref="C240:H240"/>
    <mergeCell ref="C241:H241"/>
    <mergeCell ref="C242:H242"/>
    <mergeCell ref="C243:H243"/>
    <mergeCell ref="C244:H244"/>
    <mergeCell ref="B245:H245"/>
    <mergeCell ref="B247:J247"/>
    <mergeCell ref="C248:I248"/>
    <mergeCell ref="C249:I249"/>
    <mergeCell ref="B230:J230"/>
    <mergeCell ref="C231:I231"/>
    <mergeCell ref="C232:H232"/>
    <mergeCell ref="C233:H233"/>
    <mergeCell ref="B234:I234"/>
    <mergeCell ref="C236:H236"/>
    <mergeCell ref="C237:H237"/>
    <mergeCell ref="C238:H238"/>
    <mergeCell ref="C239:D239"/>
    <mergeCell ref="B267:I267"/>
    <mergeCell ref="B269:J269"/>
    <mergeCell ref="C270:H270"/>
    <mergeCell ref="B271:H271"/>
    <mergeCell ref="C272:H272"/>
    <mergeCell ref="B210:J210"/>
    <mergeCell ref="B211:G211"/>
    <mergeCell ref="H211:J211"/>
    <mergeCell ref="B212:J212"/>
    <mergeCell ref="B213:G213"/>
    <mergeCell ref="H213:J213"/>
    <mergeCell ref="B214:J214"/>
    <mergeCell ref="B215:G215"/>
    <mergeCell ref="H215:J215"/>
    <mergeCell ref="B216:J216"/>
    <mergeCell ref="B220:J220"/>
    <mergeCell ref="C221:H221"/>
    <mergeCell ref="C222:E222"/>
    <mergeCell ref="C223:E223"/>
    <mergeCell ref="C224:E224"/>
    <mergeCell ref="C225:E225"/>
    <mergeCell ref="C226:I226"/>
    <mergeCell ref="B227:I227"/>
    <mergeCell ref="B229:J229"/>
    <mergeCell ref="B256:J256"/>
    <mergeCell ref="B259:J259"/>
    <mergeCell ref="C260:I260"/>
    <mergeCell ref="C261:G261"/>
    <mergeCell ref="C262:I262"/>
    <mergeCell ref="C263:I263"/>
    <mergeCell ref="C264:I264"/>
    <mergeCell ref="C265:I265"/>
    <mergeCell ref="C266:I266"/>
  </mergeCells>
  <conditionalFormatting sqref="I48:I50">
    <cfRule type="cellIs" dxfId="78" priority="3" operator="equal">
      <formula>0</formula>
    </cfRule>
  </conditionalFormatting>
  <conditionalFormatting sqref="I121">
    <cfRule type="cellIs" dxfId="77" priority="2" operator="notEqual">
      <formula>"OK"</formula>
    </cfRule>
  </conditionalFormatting>
  <conditionalFormatting sqref="J133">
    <cfRule type="cellIs" dxfId="76" priority="5" operator="equal">
      <formula>0</formula>
    </cfRule>
  </conditionalFormatting>
  <conditionalFormatting sqref="J261">
    <cfRule type="cellIs" dxfId="75" priority="1" operator="equal">
      <formula>0</formula>
    </cfRule>
  </conditionalFormatting>
  <pageMargins left="0.511811024" right="0.511811024" top="0.78740157499999996" bottom="0.78740157499999996" header="0" footer="0"/>
  <pageSetup scale="56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Z984"/>
  <sheetViews>
    <sheetView view="pageBreakPreview" zoomScale="60" zoomScaleNormal="100"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21.26953125" customWidth="1"/>
    <col min="4" max="4" width="23.26953125" customWidth="1"/>
    <col min="5" max="5" width="41.08984375" customWidth="1"/>
    <col min="6" max="6" width="24.26953125" customWidth="1"/>
    <col min="7" max="7" width="23" customWidth="1"/>
    <col min="8" max="8" width="32.7265625" customWidth="1"/>
    <col min="9" max="9" width="29.7265625" customWidth="1"/>
    <col min="10" max="10" width="26" customWidth="1"/>
    <col min="11" max="11" width="29.453125" hidden="1" customWidth="1"/>
    <col min="12" max="12" width="40.54296875" hidden="1" customWidth="1"/>
    <col min="13" max="26" width="14.453125" hidden="1"/>
  </cols>
  <sheetData>
    <row r="1" spans="1:11" ht="11.25" customHeight="1">
      <c r="A1" s="1031" t="b">
        <v>1</v>
      </c>
      <c r="B1" s="1032" t="s">
        <v>308</v>
      </c>
      <c r="C1" s="1033"/>
      <c r="D1" s="1033"/>
      <c r="E1" s="1033"/>
      <c r="F1" s="1033"/>
      <c r="G1" s="1033"/>
      <c r="H1" s="1033"/>
      <c r="I1" s="1033"/>
      <c r="J1" s="1033"/>
      <c r="K1" s="1031"/>
    </row>
    <row r="2" spans="1:11" ht="18" customHeight="1">
      <c r="A2" s="1031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</row>
    <row r="3" spans="1:11" ht="27" customHeight="1">
      <c r="A3" s="1031"/>
      <c r="B3" s="1634" t="str">
        <f>'1-ABA-DE-CARREGAMENTO'!G33</f>
        <v>2394-25_PSICOPEGAGOGO_40h</v>
      </c>
      <c r="C3" s="1575"/>
      <c r="D3" s="1575"/>
      <c r="E3" s="1575"/>
      <c r="F3" s="1575"/>
      <c r="G3" s="1575"/>
      <c r="H3" s="1575"/>
      <c r="I3" s="1575"/>
      <c r="J3" s="1608"/>
      <c r="K3" s="720"/>
    </row>
    <row r="4" spans="1:11" ht="11.25" customHeight="1">
      <c r="A4" s="1031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</row>
    <row r="5" spans="1:11" ht="11.25" customHeight="1">
      <c r="A5" s="1031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</row>
    <row r="6" spans="1:11" ht="11.25" customHeight="1">
      <c r="A6" s="1031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</row>
    <row r="7" spans="1:11" ht="15.75" customHeight="1">
      <c r="A7" s="1031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</row>
    <row r="8" spans="1:11" ht="15.75" customHeight="1">
      <c r="A8" s="1031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</row>
    <row r="9" spans="1:11" ht="15.75" customHeight="1">
      <c r="A9" s="1031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</row>
    <row r="10" spans="1:11" ht="15.75" customHeight="1">
      <c r="A10" s="1031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'1-ABA-DE-CARREGAMENTO'!G35</f>
        <v>RS001208/2026</v>
      </c>
      <c r="J10" s="1478"/>
      <c r="K10" s="721"/>
    </row>
    <row r="11" spans="1:11" ht="15.75" customHeight="1">
      <c r="A11" s="1031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'1-ABA-DE-CARREGAMENTO'!G94</f>
        <v>30</v>
      </c>
      <c r="J11" s="1478"/>
      <c r="K11" s="721"/>
    </row>
    <row r="12" spans="1:11" ht="15.75" customHeight="1">
      <c r="A12" s="1031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</row>
    <row r="13" spans="1:11" ht="24.75" customHeight="1">
      <c r="A13" s="1031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</row>
    <row r="14" spans="1:11" ht="11.25" hidden="1" customHeight="1" outlineLevel="1">
      <c r="A14" s="1031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</row>
    <row r="15" spans="1:11" ht="11.25" hidden="1" customHeight="1" outlineLevel="1">
      <c r="A15" s="1031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</row>
    <row r="16" spans="1:11" ht="11.25" hidden="1" customHeight="1" outlineLevel="1">
      <c r="A16" s="1031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</row>
    <row r="17" spans="1:11" ht="20.25" customHeight="1" collapsed="1">
      <c r="A17" s="1031"/>
      <c r="B17" s="1611" t="str">
        <f>B3</f>
        <v>2394-25_PSICOPEGAGOGO_40h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'1-ABA-DE-CARREGAMENTO'!G92</f>
        <v>1</v>
      </c>
      <c r="J17" s="1478"/>
      <c r="K17" s="728"/>
    </row>
    <row r="18" spans="1:11" ht="11.25" hidden="1" customHeight="1" outlineLevel="1">
      <c r="A18" s="1031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</row>
    <row r="19" spans="1:11" ht="11.25" hidden="1" customHeight="1" outlineLevel="1">
      <c r="A19" s="1031"/>
      <c r="B19" s="1611" t="s">
        <v>860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</row>
    <row r="20" spans="1:11" ht="11.25" customHeight="1" collapsed="1">
      <c r="A20" s="1031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1</v>
      </c>
      <c r="J20" s="1478"/>
      <c r="K20" s="729"/>
    </row>
    <row r="21" spans="1:11" ht="11.25" customHeight="1">
      <c r="A21" s="1031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</row>
    <row r="22" spans="1:11" ht="45.75" customHeight="1">
      <c r="A22" s="1031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</row>
    <row r="23" spans="1:11" ht="11.25" customHeight="1">
      <c r="A23" s="1031"/>
      <c r="B23" s="1618"/>
      <c r="C23" s="1477"/>
      <c r="D23" s="1477"/>
      <c r="E23" s="1477"/>
      <c r="F23" s="1477"/>
      <c r="G23" s="1477"/>
      <c r="H23" s="1477"/>
      <c r="I23" s="1477"/>
      <c r="J23" s="1478"/>
      <c r="K23" s="459"/>
    </row>
    <row r="24" spans="1:11" ht="51.75" customHeight="1">
      <c r="A24" s="1031"/>
      <c r="B24" s="1726" t="s">
        <v>861</v>
      </c>
      <c r="C24" s="1477"/>
      <c r="D24" s="1477"/>
      <c r="E24" s="1477"/>
      <c r="F24" s="1477"/>
      <c r="G24" s="1477"/>
      <c r="H24" s="1477"/>
      <c r="I24" s="1477"/>
      <c r="J24" s="1478"/>
      <c r="K24" s="1034"/>
    </row>
    <row r="25" spans="1:11" ht="15" customHeight="1">
      <c r="A25" s="1031"/>
      <c r="B25" s="1727"/>
      <c r="C25" s="1477"/>
      <c r="D25" s="1477"/>
      <c r="E25" s="1477"/>
      <c r="F25" s="1477"/>
      <c r="G25" s="1477"/>
      <c r="H25" s="1477"/>
      <c r="I25" s="1477"/>
      <c r="J25" s="1478"/>
      <c r="K25" s="1035"/>
    </row>
    <row r="26" spans="1:11" ht="18.7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</row>
    <row r="27" spans="1:11" ht="26.25" customHeight="1">
      <c r="A27" s="1031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'1-ABA-DE-CARREGAMENTO'!G33</f>
        <v>2394-25_PSICOPEGAGOGO_40h</v>
      </c>
      <c r="J27" s="1478"/>
      <c r="K27" s="732"/>
    </row>
    <row r="28" spans="1:11" ht="21" customHeight="1">
      <c r="A28" s="1031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624" t="str">
        <f>LEFT(I27,7)</f>
        <v>2394-25</v>
      </c>
      <c r="J28" s="1478"/>
      <c r="K28" s="734"/>
    </row>
    <row r="29" spans="1:11" ht="54" customHeight="1">
      <c r="A29" s="1031"/>
      <c r="B29" s="696">
        <v>3</v>
      </c>
      <c r="C29" s="1625" t="s">
        <v>336</v>
      </c>
      <c r="D29" s="1468"/>
      <c r="E29" s="1036">
        <v>220</v>
      </c>
      <c r="F29" s="737">
        <f>'1-ABA-DE-CARREGAMENTO'!G37</f>
        <v>5637.96</v>
      </c>
      <c r="G29" s="738" t="s">
        <v>337</v>
      </c>
      <c r="H29" s="739">
        <v>200</v>
      </c>
      <c r="I29" s="1626">
        <f>F29</f>
        <v>5637.96</v>
      </c>
      <c r="J29" s="1478"/>
      <c r="K29" s="1037"/>
    </row>
    <row r="30" spans="1:11" ht="11.25" customHeight="1">
      <c r="A30" s="1031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</row>
    <row r="31" spans="1:11" ht="12" customHeight="1">
      <c r="A31" s="1031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'1-ABA-DE-CARREGAMENTO'!G36</f>
        <v xml:space="preserve">01 de ABRIL </v>
      </c>
      <c r="J31" s="1478"/>
      <c r="K31" s="742"/>
    </row>
    <row r="32" spans="1:11" ht="12.75" customHeight="1">
      <c r="A32" s="1031"/>
      <c r="B32" s="1038">
        <v>6</v>
      </c>
      <c r="C32" s="1560" t="s">
        <v>862</v>
      </c>
      <c r="D32" s="1477"/>
      <c r="E32" s="1477"/>
      <c r="F32" s="1477"/>
      <c r="G32" s="1477"/>
      <c r="H32" s="1478"/>
      <c r="I32" s="1630">
        <f>F29/E29</f>
        <v>25.62709090909091</v>
      </c>
      <c r="J32" s="1478"/>
      <c r="K32" s="744"/>
    </row>
    <row r="33" spans="1:11" ht="42.75" customHeight="1">
      <c r="A33" s="1031"/>
      <c r="B33" s="1038">
        <v>7</v>
      </c>
      <c r="C33" s="1560" t="s">
        <v>863</v>
      </c>
      <c r="D33" s="1477"/>
      <c r="E33" s="1477"/>
      <c r="F33" s="1478"/>
      <c r="G33" s="1631"/>
      <c r="H33" s="1478"/>
      <c r="I33" s="1632">
        <f>(I32*I50)+I32</f>
        <v>25.62709090909091</v>
      </c>
      <c r="J33" s="1478"/>
      <c r="K33" s="744"/>
    </row>
    <row r="34" spans="1:11" ht="24.75" customHeight="1">
      <c r="A34" s="1031"/>
      <c r="B34" s="1038">
        <v>8</v>
      </c>
      <c r="C34" s="1560" t="s">
        <v>864</v>
      </c>
      <c r="D34" s="1477"/>
      <c r="E34" s="1477"/>
      <c r="F34" s="1478"/>
      <c r="G34" s="1631"/>
      <c r="H34" s="1478"/>
      <c r="I34" s="1630">
        <f t="shared" ref="I34:I35" si="0">I32*1.5</f>
        <v>38.440636363636365</v>
      </c>
      <c r="J34" s="1478"/>
      <c r="K34" s="744"/>
    </row>
    <row r="35" spans="1:11" ht="24.75" customHeight="1">
      <c r="A35" s="1031"/>
      <c r="B35" s="1038">
        <v>9</v>
      </c>
      <c r="C35" s="1560" t="s">
        <v>865</v>
      </c>
      <c r="D35" s="1477"/>
      <c r="E35" s="1477"/>
      <c r="F35" s="1478"/>
      <c r="G35" s="1631" t="s">
        <v>344</v>
      </c>
      <c r="H35" s="1478"/>
      <c r="I35" s="1632">
        <f t="shared" si="0"/>
        <v>38.440636363636365</v>
      </c>
      <c r="J35" s="1478"/>
      <c r="K35" s="1039"/>
    </row>
    <row r="36" spans="1:11" ht="24.75" customHeight="1">
      <c r="A36" s="1031"/>
      <c r="B36" s="1038">
        <v>10</v>
      </c>
      <c r="C36" s="1560" t="s">
        <v>866</v>
      </c>
      <c r="D36" s="1477"/>
      <c r="E36" s="1477"/>
      <c r="F36" s="1477"/>
      <c r="G36" s="1477"/>
      <c r="H36" s="1478"/>
      <c r="I36" s="1642">
        <f>I33*1.2</f>
        <v>30.75250909090909</v>
      </c>
      <c r="J36" s="1478"/>
      <c r="K36" s="744"/>
    </row>
    <row r="37" spans="1:11" ht="24.75" customHeight="1">
      <c r="A37" s="1031"/>
      <c r="B37" s="1038">
        <v>11</v>
      </c>
      <c r="C37" s="1560" t="s">
        <v>867</v>
      </c>
      <c r="D37" s="1477"/>
      <c r="E37" s="1477"/>
      <c r="F37" s="1477"/>
      <c r="G37" s="1477"/>
      <c r="H37" s="1478"/>
      <c r="I37" s="1643">
        <f>I33*2</f>
        <v>51.25418181818182</v>
      </c>
      <c r="J37" s="1478"/>
      <c r="K37" s="744"/>
    </row>
    <row r="38" spans="1:11" ht="14.25" customHeight="1">
      <c r="A38" s="1031"/>
      <c r="B38" s="1038">
        <v>12</v>
      </c>
      <c r="C38" s="1560" t="s">
        <v>868</v>
      </c>
      <c r="D38" s="1477"/>
      <c r="E38" s="1477"/>
      <c r="F38" s="1477"/>
      <c r="G38" s="1477"/>
      <c r="H38" s="1478"/>
      <c r="I38" s="1630">
        <f>I32*2.5*0</f>
        <v>0</v>
      </c>
      <c r="J38" s="1478"/>
      <c r="K38" s="744"/>
    </row>
    <row r="39" spans="1:11" ht="14.25" customHeight="1">
      <c r="A39" s="1031"/>
      <c r="B39" s="1038">
        <v>13</v>
      </c>
      <c r="C39" s="1645" t="s">
        <v>348</v>
      </c>
      <c r="D39" s="1481"/>
      <c r="E39" s="1481"/>
      <c r="F39" s="1481"/>
      <c r="G39" s="1481"/>
      <c r="H39" s="1623"/>
      <c r="I39" s="1644">
        <f>ROUND(I32/6,2)*1.3*0</f>
        <v>0</v>
      </c>
      <c r="J39" s="1623"/>
      <c r="K39" s="744"/>
    </row>
    <row r="40" spans="1:11" ht="27" customHeight="1">
      <c r="A40" s="1031"/>
      <c r="B40" s="746">
        <v>14</v>
      </c>
      <c r="C40" s="1646" t="s">
        <v>349</v>
      </c>
      <c r="D40" s="1647"/>
      <c r="E40" s="1647"/>
      <c r="F40" s="1647"/>
      <c r="G40" s="1647"/>
      <c r="H40" s="1648"/>
      <c r="I40" s="1649">
        <f>'1-ABA-DE-CARREGAMENTO'!G93</f>
        <v>1</v>
      </c>
      <c r="J40" s="1650"/>
      <c r="K40" s="1040"/>
    </row>
    <row r="41" spans="1:11" ht="18" customHeight="1">
      <c r="A41" s="1031"/>
      <c r="B41" s="1038">
        <v>15</v>
      </c>
      <c r="C41" s="1651" t="s">
        <v>350</v>
      </c>
      <c r="D41" s="1575"/>
      <c r="E41" s="1575"/>
      <c r="F41" s="1575"/>
      <c r="G41" s="1575"/>
      <c r="H41" s="1608"/>
      <c r="I41" s="1652">
        <f>'1-ABA-DE-CARREGAMENTO'!E42</f>
        <v>1621</v>
      </c>
      <c r="J41" s="1608"/>
      <c r="K41" s="749"/>
    </row>
    <row r="42" spans="1:11" ht="11.25" customHeight="1">
      <c r="A42" s="1031"/>
      <c r="B42" s="1618"/>
      <c r="C42" s="1477"/>
      <c r="D42" s="1477"/>
      <c r="E42" s="1477"/>
      <c r="F42" s="1477"/>
      <c r="G42" s="1477"/>
      <c r="H42" s="1477"/>
      <c r="I42" s="1477"/>
      <c r="J42" s="1478"/>
      <c r="K42" s="459"/>
    </row>
    <row r="43" spans="1:11" ht="24.75" customHeight="1">
      <c r="A43" s="1031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</row>
    <row r="44" spans="1:11" ht="14.25" customHeight="1">
      <c r="A44" s="1031"/>
      <c r="B44" s="1728"/>
      <c r="C44" s="1477"/>
      <c r="D44" s="1477"/>
      <c r="E44" s="1477"/>
      <c r="F44" s="1477"/>
      <c r="G44" s="1477"/>
      <c r="H44" s="1477"/>
      <c r="I44" s="1477"/>
      <c r="J44" s="1478"/>
      <c r="K44" s="1041"/>
    </row>
    <row r="45" spans="1:11" ht="18" customHeight="1">
      <c r="A45" s="1031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</row>
    <row r="46" spans="1:11" ht="15" customHeight="1">
      <c r="A46" s="104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753" t="s">
        <v>355</v>
      </c>
      <c r="K46" s="727"/>
    </row>
    <row r="47" spans="1:11" ht="30" customHeight="1">
      <c r="A47" s="1031"/>
      <c r="B47" s="696" t="s">
        <v>312</v>
      </c>
      <c r="C47" s="1577" t="s">
        <v>869</v>
      </c>
      <c r="D47" s="1477"/>
      <c r="E47" s="1477"/>
      <c r="F47" s="1478"/>
      <c r="G47" s="755" t="s">
        <v>52</v>
      </c>
      <c r="H47" s="756">
        <f>'1-ABA-DE-CARREGAMENTO'!G52</f>
        <v>200</v>
      </c>
      <c r="I47" s="755"/>
      <c r="J47" s="758">
        <f>I29*I40</f>
        <v>5637.96</v>
      </c>
      <c r="K47" s="1043"/>
    </row>
    <row r="48" spans="1:11" ht="21.75" customHeight="1">
      <c r="A48" s="1031"/>
      <c r="B48" s="696" t="s">
        <v>314</v>
      </c>
      <c r="C48" s="1577" t="s">
        <v>870</v>
      </c>
      <c r="D48" s="1477"/>
      <c r="E48" s="1477"/>
      <c r="F48" s="1654" t="str">
        <f>'1-ABA-DE-CARREGAMENTO'!G38</f>
        <v>SEM ADICIONAL DE FUNÇÃO</v>
      </c>
      <c r="G48" s="1477"/>
      <c r="H48" s="1478"/>
      <c r="I48" s="994">
        <f>'1-ABA-DE-CARREGAMENTO'!G39</f>
        <v>0</v>
      </c>
      <c r="J48" s="758">
        <f>J47*I48</f>
        <v>0</v>
      </c>
      <c r="K48" s="1043"/>
    </row>
    <row r="49" spans="1:13" ht="30" customHeight="1">
      <c r="A49" s="1031"/>
      <c r="B49" s="696" t="s">
        <v>316</v>
      </c>
      <c r="C49" s="1577" t="s">
        <v>871</v>
      </c>
      <c r="D49" s="1477"/>
      <c r="E49" s="1477"/>
      <c r="F49" s="1477"/>
      <c r="G49" s="1477"/>
      <c r="H49" s="1478"/>
      <c r="I49" s="871">
        <f>'1-ABA-DE-CARREGAMENTO'!G44</f>
        <v>0</v>
      </c>
      <c r="J49" s="758">
        <f>ROUND(J47*I49,2)</f>
        <v>0</v>
      </c>
      <c r="K49" s="1043"/>
    </row>
    <row r="50" spans="1:13" ht="23.25" customHeight="1">
      <c r="A50" s="1031"/>
      <c r="B50" s="696" t="s">
        <v>318</v>
      </c>
      <c r="C50" s="1577" t="s">
        <v>872</v>
      </c>
      <c r="D50" s="1477"/>
      <c r="E50" s="1477"/>
      <c r="F50" s="1477"/>
      <c r="G50" s="1731" t="str">
        <f>'1-ABA-DE-CARREGAMENTO'!G40</f>
        <v>SEM ADICIONAL DE RISCO</v>
      </c>
      <c r="H50" s="1478"/>
      <c r="I50" s="1073">
        <f>'1-ABA-DE-CARREGAMENTO'!G41</f>
        <v>0</v>
      </c>
      <c r="J50" s="758">
        <f>ROUND(I50*I41,2)</f>
        <v>0</v>
      </c>
      <c r="K50" s="1043"/>
    </row>
    <row r="51" spans="1:13" ht="33.75" hidden="1" customHeight="1" outlineLevel="1">
      <c r="A51" s="1031"/>
      <c r="B51" s="696" t="s">
        <v>360</v>
      </c>
      <c r="C51" s="1573" t="s">
        <v>873</v>
      </c>
      <c r="D51" s="1477"/>
      <c r="E51" s="1478"/>
      <c r="F51" s="807" t="s">
        <v>362</v>
      </c>
      <c r="G51" s="764">
        <v>0</v>
      </c>
      <c r="H51" s="807" t="s">
        <v>363</v>
      </c>
      <c r="I51" s="1044">
        <f>I36</f>
        <v>30.75250909090909</v>
      </c>
      <c r="J51" s="1045">
        <f>G51*I51</f>
        <v>0</v>
      </c>
      <c r="K51" s="1043"/>
    </row>
    <row r="52" spans="1:13" ht="45" hidden="1" customHeight="1" outlineLevel="1">
      <c r="A52" s="1031"/>
      <c r="B52" s="696" t="s">
        <v>364</v>
      </c>
      <c r="C52" s="1656" t="s">
        <v>874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1043"/>
    </row>
    <row r="53" spans="1:13" ht="30" hidden="1" customHeight="1" outlineLevel="1">
      <c r="A53" s="1031"/>
      <c r="B53" s="696" t="s">
        <v>366</v>
      </c>
      <c r="C53" s="1656" t="s">
        <v>875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1043"/>
    </row>
    <row r="54" spans="1:13" ht="24.75" hidden="1" customHeight="1" outlineLevel="1">
      <c r="A54" s="1031"/>
      <c r="B54" s="696" t="s">
        <v>368</v>
      </c>
      <c r="C54" s="1656" t="s">
        <v>876</v>
      </c>
      <c r="D54" s="1477"/>
      <c r="E54" s="1477"/>
      <c r="F54" s="807" t="s">
        <v>370</v>
      </c>
      <c r="G54" s="764">
        <v>0</v>
      </c>
      <c r="H54" s="807" t="s">
        <v>877</v>
      </c>
      <c r="I54" s="1044">
        <f t="shared" ref="I54:I55" si="1">I37</f>
        <v>51.25418181818182</v>
      </c>
      <c r="J54" s="758">
        <f t="shared" ref="J54:J55" si="2">G54*I54</f>
        <v>0</v>
      </c>
      <c r="K54" s="1043"/>
    </row>
    <row r="55" spans="1:13" ht="24.75" hidden="1" customHeight="1" outlineLevel="1">
      <c r="A55" s="1031"/>
      <c r="B55" s="696" t="s">
        <v>372</v>
      </c>
      <c r="C55" s="1656" t="s">
        <v>878</v>
      </c>
      <c r="D55" s="1477"/>
      <c r="E55" s="1477"/>
      <c r="F55" s="807" t="s">
        <v>374</v>
      </c>
      <c r="G55" s="764">
        <v>0</v>
      </c>
      <c r="H55" s="807" t="s">
        <v>879</v>
      </c>
      <c r="I55" s="1044">
        <f t="shared" si="1"/>
        <v>0</v>
      </c>
      <c r="J55" s="758">
        <f t="shared" si="2"/>
        <v>0</v>
      </c>
      <c r="K55" s="1043"/>
    </row>
    <row r="56" spans="1:13" ht="38.25" hidden="1" customHeight="1" outlineLevel="1">
      <c r="A56" s="1031"/>
      <c r="B56" s="696" t="s">
        <v>880</v>
      </c>
      <c r="C56" s="1732" t="s">
        <v>881</v>
      </c>
      <c r="D56" s="1477"/>
      <c r="E56" s="1477"/>
      <c r="F56" s="1477"/>
      <c r="G56" s="1477"/>
      <c r="H56" s="1477"/>
      <c r="I56" s="1478"/>
      <c r="J56" s="845">
        <f>(J47/220*15*1.5)*0.5*0</f>
        <v>0</v>
      </c>
      <c r="K56" s="1074"/>
      <c r="L56" s="2"/>
      <c r="M56" s="2"/>
    </row>
    <row r="57" spans="1:13" ht="33" customHeight="1" collapsed="1">
      <c r="A57" s="1031"/>
      <c r="B57" s="696" t="s">
        <v>882</v>
      </c>
      <c r="C57" s="1577" t="s">
        <v>883</v>
      </c>
      <c r="D57" s="1477"/>
      <c r="E57" s="1477"/>
      <c r="F57" s="1477"/>
      <c r="G57" s="1477"/>
      <c r="H57" s="1477"/>
      <c r="I57" s="1478"/>
      <c r="J57" s="758">
        <f>J56*0.2</f>
        <v>0</v>
      </c>
      <c r="K57" s="1046"/>
    </row>
    <row r="58" spans="1:13" ht="30" customHeight="1">
      <c r="A58" s="1031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SUM(J47:J56)</f>
        <v>5637.96</v>
      </c>
      <c r="K58" s="1047"/>
    </row>
    <row r="59" spans="1:13" ht="14.25" customHeight="1">
      <c r="A59" s="1031"/>
      <c r="B59" s="773"/>
      <c r="C59" s="1657"/>
      <c r="D59" s="1477"/>
      <c r="E59" s="1477"/>
      <c r="F59" s="1477"/>
      <c r="G59" s="1477"/>
      <c r="H59" s="1477"/>
      <c r="I59" s="1478"/>
      <c r="J59" s="774"/>
      <c r="K59" s="1047"/>
    </row>
    <row r="60" spans="1:13" ht="66" customHeight="1">
      <c r="A60" s="1031"/>
      <c r="B60" s="696" t="s">
        <v>368</v>
      </c>
      <c r="C60" s="1577" t="s">
        <v>884</v>
      </c>
      <c r="D60" s="1477"/>
      <c r="E60" s="1477"/>
      <c r="F60" s="1477"/>
      <c r="G60" s="1477"/>
      <c r="H60" s="1477"/>
      <c r="I60" s="1478"/>
      <c r="J60" s="1028">
        <f>ROUND(I34*22*I40*0.5,2)*0</f>
        <v>0</v>
      </c>
    </row>
    <row r="61" spans="1:13" ht="34.5" customHeight="1">
      <c r="A61" s="1031"/>
      <c r="B61" s="1572" t="s">
        <v>885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1047"/>
    </row>
    <row r="62" spans="1:13" ht="11.25" customHeight="1">
      <c r="A62" s="1031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</row>
    <row r="63" spans="1:13" ht="49.5" customHeight="1">
      <c r="A63" s="1031"/>
      <c r="B63" s="1578" t="s">
        <v>886</v>
      </c>
      <c r="C63" s="1477"/>
      <c r="D63" s="1477"/>
      <c r="E63" s="1477"/>
      <c r="F63" s="1477"/>
      <c r="G63" s="1477"/>
      <c r="H63" s="1477"/>
      <c r="I63" s="1478"/>
      <c r="J63" s="775">
        <f>J58+J61</f>
        <v>5637.96</v>
      </c>
      <c r="K63" s="776"/>
    </row>
    <row r="64" spans="1:13" ht="11.25" customHeight="1">
      <c r="A64" s="1031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</row>
    <row r="65" spans="1:11" ht="23.25" customHeight="1">
      <c r="A65" s="1031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</row>
    <row r="66" spans="1:11" ht="11.25" customHeight="1">
      <c r="A66" s="1031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</row>
    <row r="67" spans="1:11" ht="21" customHeight="1">
      <c r="A67" s="1031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1048"/>
    </row>
    <row r="68" spans="1:11" ht="24" customHeight="1">
      <c r="A68" s="1031"/>
      <c r="B68" s="1580" t="s">
        <v>887</v>
      </c>
      <c r="C68" s="1477"/>
      <c r="D68" s="1477"/>
      <c r="E68" s="1477"/>
      <c r="F68" s="1477"/>
      <c r="G68" s="1477"/>
      <c r="H68" s="1477"/>
      <c r="I68" s="1477"/>
      <c r="J68" s="1478"/>
      <c r="K68" s="931"/>
    </row>
    <row r="69" spans="1:11" ht="24.75" customHeight="1">
      <c r="A69" s="1031"/>
      <c r="B69" s="781" t="s">
        <v>388</v>
      </c>
      <c r="C69" s="1659" t="s">
        <v>888</v>
      </c>
      <c r="D69" s="1477"/>
      <c r="E69" s="1477"/>
      <c r="F69" s="1477"/>
      <c r="G69" s="1477"/>
      <c r="H69" s="1477"/>
      <c r="I69" s="1478"/>
      <c r="J69" s="782" t="s">
        <v>390</v>
      </c>
      <c r="K69" s="783"/>
    </row>
    <row r="70" spans="1:11" ht="24.75" customHeight="1">
      <c r="A70" s="1031"/>
      <c r="B70" s="781" t="s">
        <v>312</v>
      </c>
      <c r="C70" s="1656" t="s">
        <v>889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469.64</v>
      </c>
      <c r="K70" s="786"/>
    </row>
    <row r="71" spans="1:11" ht="63" customHeight="1">
      <c r="A71" s="1031"/>
      <c r="B71" s="781" t="s">
        <v>314</v>
      </c>
      <c r="C71" s="1582" t="s">
        <v>890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170.55</v>
      </c>
      <c r="K71" s="786"/>
    </row>
    <row r="72" spans="1:11" ht="11.25" customHeight="1">
      <c r="A72" s="1031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640.19000000000005</v>
      </c>
      <c r="K72" s="1049"/>
    </row>
    <row r="73" spans="1:11" ht="14.25" customHeight="1">
      <c r="A73" s="1031"/>
      <c r="B73" s="1661"/>
      <c r="C73" s="1477"/>
      <c r="D73" s="1477"/>
      <c r="E73" s="1477"/>
      <c r="F73" s="1477"/>
      <c r="G73" s="1477"/>
      <c r="H73" s="1477"/>
      <c r="I73" s="1477"/>
      <c r="J73" s="1478"/>
      <c r="K73" s="1050"/>
    </row>
    <row r="74" spans="1:11" ht="13.5" customHeight="1">
      <c r="A74" s="1031"/>
      <c r="B74" s="1653" t="s">
        <v>891</v>
      </c>
      <c r="C74" s="1477"/>
      <c r="D74" s="1477"/>
      <c r="E74" s="1477"/>
      <c r="F74" s="1477"/>
      <c r="G74" s="1477"/>
      <c r="H74" s="1477"/>
      <c r="I74" s="1477"/>
      <c r="J74" s="1478"/>
      <c r="K74" s="750"/>
    </row>
    <row r="75" spans="1:11" ht="14.25" customHeight="1">
      <c r="A75" s="1031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</row>
    <row r="76" spans="1:11" ht="32.25" customHeight="1">
      <c r="A76" s="1031"/>
      <c r="B76" s="1663" t="s">
        <v>892</v>
      </c>
      <c r="C76" s="1477"/>
      <c r="D76" s="1477"/>
      <c r="E76" s="1477"/>
      <c r="F76" s="1477"/>
      <c r="G76" s="1477"/>
      <c r="H76" s="1477"/>
      <c r="I76" s="1477"/>
      <c r="J76" s="1478"/>
      <c r="K76" s="780"/>
    </row>
    <row r="77" spans="1:11" ht="16.5" customHeight="1">
      <c r="A77" s="1031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</row>
    <row r="78" spans="1:11" ht="19.5" customHeight="1">
      <c r="A78" s="1031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1255.6300000000001</v>
      </c>
      <c r="K78" s="1049"/>
    </row>
    <row r="79" spans="1:11" ht="19.5" customHeight="1">
      <c r="A79" s="1031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156.94999999999999</v>
      </c>
      <c r="K79" s="1049"/>
    </row>
    <row r="80" spans="1:11" ht="35.25" customHeight="1">
      <c r="A80" s="1031"/>
      <c r="B80" s="794" t="s">
        <v>316</v>
      </c>
      <c r="C80" s="1577" t="s">
        <v>893</v>
      </c>
      <c r="D80" s="1478"/>
      <c r="E80" s="1051" t="s">
        <v>402</v>
      </c>
      <c r="F80" s="1052">
        <f>'1-ABA-DE-CARREGAMENTO'!G57</f>
        <v>0</v>
      </c>
      <c r="G80" s="1051" t="s">
        <v>403</v>
      </c>
      <c r="H80" s="1053">
        <f>'1-ABA-DE-CARREGAMENTO'!G58</f>
        <v>1</v>
      </c>
      <c r="I80" s="799">
        <f>ROUND((F80*H80),6)</f>
        <v>0</v>
      </c>
      <c r="J80" s="796">
        <f>ROUND((J58+J72)*I80,2)</f>
        <v>0</v>
      </c>
      <c r="K80" s="1049"/>
    </row>
    <row r="81" spans="1:11" ht="16.5" customHeight="1">
      <c r="A81" s="1031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94.17</v>
      </c>
      <c r="K81" s="1049"/>
    </row>
    <row r="82" spans="1:11" ht="16.5" customHeight="1">
      <c r="A82" s="1031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62.78</v>
      </c>
      <c r="K82" s="1049"/>
    </row>
    <row r="83" spans="1:11" ht="16.5" customHeight="1">
      <c r="A83" s="1031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37.67</v>
      </c>
      <c r="K83" s="1049"/>
    </row>
    <row r="84" spans="1:11" ht="16.5" customHeight="1">
      <c r="A84" s="1031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12.56</v>
      </c>
      <c r="K84" s="1049"/>
    </row>
    <row r="85" spans="1:11" ht="28.5" customHeight="1">
      <c r="A85" s="1031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502.25</v>
      </c>
      <c r="K85" s="1049"/>
    </row>
    <row r="86" spans="1:11" ht="12" customHeight="1">
      <c r="A86" s="1031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3">SUM(I78:I85)</f>
        <v>0.33800000000000002</v>
      </c>
      <c r="J86" s="788">
        <f t="shared" si="3"/>
        <v>2122.0100000000002</v>
      </c>
      <c r="K86" s="1049"/>
    </row>
    <row r="87" spans="1:11" ht="12" customHeight="1">
      <c r="A87" s="1031"/>
      <c r="B87" s="801"/>
      <c r="C87" s="802"/>
      <c r="D87" s="802"/>
      <c r="E87" s="802"/>
      <c r="F87" s="802"/>
      <c r="G87" s="802"/>
      <c r="H87" s="802"/>
      <c r="I87" s="803"/>
      <c r="J87" s="804"/>
      <c r="K87" s="1049"/>
    </row>
    <row r="88" spans="1:11" ht="45" customHeight="1">
      <c r="A88" s="1031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</row>
    <row r="89" spans="1:11" ht="18.75" customHeight="1">
      <c r="A89" s="1031"/>
      <c r="B89" s="1618"/>
      <c r="C89" s="1477"/>
      <c r="D89" s="1477"/>
      <c r="E89" s="1477"/>
      <c r="F89" s="1477"/>
      <c r="G89" s="1477"/>
      <c r="H89" s="1477"/>
      <c r="I89" s="1477"/>
      <c r="J89" s="1478"/>
      <c r="K89" s="459"/>
    </row>
    <row r="90" spans="1:11" ht="15" customHeight="1">
      <c r="A90" s="1031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931"/>
    </row>
    <row r="91" spans="1:11" ht="15" customHeight="1">
      <c r="A91" s="1031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</row>
    <row r="92" spans="1:11" ht="23.25" customHeight="1">
      <c r="A92" s="1031"/>
      <c r="B92" s="743" t="s">
        <v>312</v>
      </c>
      <c r="C92" s="1577" t="e">
        <f ca="1">IF(F95="o transporte é seletivo", "AUXILIO TRANSPORTE Cálculo do valor: [(n passag dia × vlr passagem × n dias mês ) – (0,06xSB)]", "Transporte Cálculo do valor: [(n passag dia × vlr VT × n dias mês ) – (0,06xSB)]")</f>
        <v>#NAME?</v>
      </c>
      <c r="D92" s="1477"/>
      <c r="E92" s="1477"/>
      <c r="F92" s="1477"/>
      <c r="G92" s="1477"/>
      <c r="H92" s="1478"/>
      <c r="I92" s="807">
        <f>J47</f>
        <v>5637.96</v>
      </c>
      <c r="J92" s="808">
        <f>IF(ROUND((I93*I95*I94)-(J47*I96),2)&lt;0,0,ROUND((I93*I95*I94)-(J47*I96),2))</f>
        <v>0</v>
      </c>
      <c r="K92" s="1049"/>
    </row>
    <row r="93" spans="1:11" ht="28.5" customHeight="1">
      <c r="A93" s="1031"/>
      <c r="B93" s="743" t="s">
        <v>314</v>
      </c>
      <c r="C93" s="1577" t="s">
        <v>894</v>
      </c>
      <c r="D93" s="1477"/>
      <c r="E93" s="1477"/>
      <c r="F93" s="1477"/>
      <c r="G93" s="1477"/>
      <c r="H93" s="1477"/>
      <c r="I93" s="809">
        <f>'1-ABA-DE-CARREGAMENTO'!G72</f>
        <v>6.82</v>
      </c>
      <c r="J93" s="810" t="s">
        <v>325</v>
      </c>
      <c r="K93" s="1046"/>
    </row>
    <row r="94" spans="1:11" ht="21" customHeight="1">
      <c r="A94" s="1031"/>
      <c r="B94" s="743" t="s">
        <v>316</v>
      </c>
      <c r="C94" s="1577" t="s">
        <v>895</v>
      </c>
      <c r="D94" s="1477"/>
      <c r="E94" s="1477"/>
      <c r="F94" s="1477"/>
      <c r="G94" s="1477"/>
      <c r="H94" s="1478"/>
      <c r="I94" s="811">
        <f>'1-ABA-DE-CARREGAMENTO'!G73</f>
        <v>2</v>
      </c>
      <c r="J94" s="810" t="s">
        <v>325</v>
      </c>
      <c r="K94" s="1046"/>
    </row>
    <row r="95" spans="1:11" ht="19.5" customHeight="1">
      <c r="A95" s="1031"/>
      <c r="B95" s="743" t="s">
        <v>318</v>
      </c>
      <c r="C95" s="1665" t="s">
        <v>415</v>
      </c>
      <c r="D95" s="1477"/>
      <c r="E95" s="1477"/>
      <c r="F95" s="1666" t="e">
        <f ca="1">getNota('1-ABA-DE-CARREGAMENTO'!C14)</f>
        <v>#NAME?</v>
      </c>
      <c r="G95" s="1477"/>
      <c r="H95" s="812">
        <f>I93*I94*I95</f>
        <v>279.62</v>
      </c>
      <c r="I95" s="813">
        <f>'1-ABA-DE-CARREGAMENTO'!G74</f>
        <v>20.5</v>
      </c>
      <c r="J95" s="810" t="s">
        <v>325</v>
      </c>
      <c r="K95" s="1046"/>
    </row>
    <row r="96" spans="1:11" ht="27" customHeight="1">
      <c r="A96" s="1031"/>
      <c r="B96" s="743" t="s">
        <v>360</v>
      </c>
      <c r="C96" s="1665" t="s">
        <v>896</v>
      </c>
      <c r="D96" s="1477"/>
      <c r="E96" s="1477"/>
      <c r="F96" s="1477"/>
      <c r="G96" s="1477"/>
      <c r="H96" s="812">
        <f>I96*J47</f>
        <v>338.27760000000001</v>
      </c>
      <c r="I96" s="814">
        <f>'1-ABA-DE-CARREGAMENTO'!G75</f>
        <v>0.06</v>
      </c>
      <c r="J96" s="815" t="s">
        <v>325</v>
      </c>
      <c r="K96" s="1046"/>
    </row>
    <row r="97" spans="1:25" ht="15" customHeight="1">
      <c r="A97" s="1031"/>
      <c r="B97" s="743" t="s">
        <v>364</v>
      </c>
      <c r="C97" s="1577" t="s">
        <v>897</v>
      </c>
      <c r="D97" s="1477"/>
      <c r="E97" s="1477"/>
      <c r="F97" s="1477"/>
      <c r="G97" s="1477"/>
      <c r="H97" s="1477"/>
      <c r="I97" s="1477"/>
      <c r="J97" s="808">
        <f>ROUND(I98*I99,2)-ROUND((I98*I99)*I100,2)</f>
        <v>311.11</v>
      </c>
      <c r="K97" s="1049"/>
    </row>
    <row r="98" spans="1:25" ht="22.5" customHeight="1">
      <c r="A98" s="1031"/>
      <c r="B98" s="743" t="s">
        <v>366</v>
      </c>
      <c r="C98" s="1577" t="s">
        <v>898</v>
      </c>
      <c r="D98" s="1477"/>
      <c r="E98" s="1477"/>
      <c r="F98" s="1477"/>
      <c r="G98" s="1477"/>
      <c r="H98" s="1477"/>
      <c r="I98" s="816">
        <f>IF('1-ABA-DE-CARREGAMENTO'!G60&gt;0,'1-ABA-DE-CARREGAMENTO'!G60,'1-ABA-DE-CARREGAMENTO'!G63)</f>
        <v>18.97</v>
      </c>
      <c r="J98" s="817"/>
      <c r="K98" s="1046"/>
    </row>
    <row r="99" spans="1:25" ht="24" customHeight="1">
      <c r="A99" s="1031"/>
      <c r="B99" s="743" t="s">
        <v>368</v>
      </c>
      <c r="C99" s="1665" t="s">
        <v>899</v>
      </c>
      <c r="D99" s="1477"/>
      <c r="E99" s="1477"/>
      <c r="F99" s="1477"/>
      <c r="G99" s="1477"/>
      <c r="H99" s="812">
        <f>I98*I99</f>
        <v>388.88499999999999</v>
      </c>
      <c r="I99" s="818">
        <f>'1-ABA-DE-CARREGAMENTO'!G62</f>
        <v>20.5</v>
      </c>
      <c r="J99" s="817"/>
      <c r="K99" s="1046"/>
    </row>
    <row r="100" spans="1:25" ht="24" customHeight="1">
      <c r="A100" s="1031"/>
      <c r="B100" s="794" t="s">
        <v>372</v>
      </c>
      <c r="C100" s="1665" t="s">
        <v>900</v>
      </c>
      <c r="D100" s="1477"/>
      <c r="E100" s="1477"/>
      <c r="F100" s="1477"/>
      <c r="G100" s="1477"/>
      <c r="H100" s="812">
        <f>(I98*I99)*I100</f>
        <v>77.777000000000001</v>
      </c>
      <c r="I100" s="814">
        <f>'1-ABA-DE-CARREGAMENTO'!G61</f>
        <v>0.2</v>
      </c>
      <c r="J100" s="819"/>
      <c r="K100" s="1046"/>
    </row>
    <row r="101" spans="1:25" ht="15" customHeight="1" outlineLevel="1">
      <c r="A101" s="1031"/>
      <c r="B101" s="743" t="s">
        <v>376</v>
      </c>
      <c r="C101" s="1628" t="s">
        <v>901</v>
      </c>
      <c r="D101" s="1575"/>
      <c r="E101" s="1575"/>
      <c r="F101" s="1575"/>
      <c r="G101" s="1575"/>
      <c r="H101" s="1575"/>
      <c r="I101" s="1575"/>
      <c r="J101" s="820">
        <f>'1-ABA-DE-CARREGAMENTO'!G79/12</f>
        <v>0</v>
      </c>
      <c r="K101" s="1049"/>
    </row>
    <row r="102" spans="1:25" ht="33.75" customHeight="1" outlineLevel="1">
      <c r="A102" s="1031"/>
      <c r="B102" s="743" t="s">
        <v>379</v>
      </c>
      <c r="C102" s="1577" t="s">
        <v>902</v>
      </c>
      <c r="D102" s="1477"/>
      <c r="E102" s="1477"/>
      <c r="F102" s="1477"/>
      <c r="G102" s="1477"/>
      <c r="H102" s="1477"/>
      <c r="I102" s="1477"/>
      <c r="J102" s="796">
        <f>'1-ABA-DE-CARREGAMENTO'!G77</f>
        <v>0</v>
      </c>
      <c r="K102" s="1049"/>
    </row>
    <row r="103" spans="1:25" ht="36" customHeight="1" outlineLevel="1">
      <c r="A103" s="1031"/>
      <c r="B103" s="743" t="s">
        <v>423</v>
      </c>
      <c r="C103" s="1577" t="s">
        <v>903</v>
      </c>
      <c r="D103" s="1477"/>
      <c r="E103" s="1477"/>
      <c r="F103" s="1477"/>
      <c r="G103" s="1477"/>
      <c r="H103" s="1477"/>
      <c r="I103" s="1478"/>
      <c r="J103" s="796">
        <f>'1-ABA-DE-CARREGAMENTO'!G78</f>
        <v>0</v>
      </c>
      <c r="K103" s="1049"/>
    </row>
    <row r="104" spans="1:25" ht="16.5" customHeight="1" outlineLevel="1">
      <c r="A104" s="1031"/>
      <c r="B104" s="743" t="s">
        <v>425</v>
      </c>
      <c r="C104" s="1577" t="s">
        <v>426</v>
      </c>
      <c r="D104" s="1477"/>
      <c r="E104" s="1477"/>
      <c r="F104" s="1477"/>
      <c r="G104" s="1477"/>
      <c r="H104" s="1477"/>
      <c r="I104" s="1478"/>
      <c r="J104" s="796">
        <f>'1-ABA-DE-CARREGAMENTO'!G76</f>
        <v>0</v>
      </c>
      <c r="K104" s="1049"/>
    </row>
    <row r="105" spans="1:25" ht="16.5">
      <c r="A105" s="1031"/>
      <c r="B105" s="821" t="s">
        <v>53</v>
      </c>
      <c r="C105" s="1715" t="s">
        <v>427</v>
      </c>
      <c r="D105" s="1477"/>
      <c r="E105" s="1521"/>
      <c r="F105" s="1668" t="s">
        <v>428</v>
      </c>
      <c r="G105" s="1477"/>
      <c r="H105" s="1521"/>
      <c r="I105" s="998">
        <v>526.64</v>
      </c>
      <c r="J105" s="999">
        <f>I105*0.2*I17</f>
        <v>105.328</v>
      </c>
      <c r="K105" s="789"/>
    </row>
    <row r="106" spans="1:25" ht="33.75" customHeight="1">
      <c r="A106" s="1031"/>
      <c r="B106" s="823"/>
      <c r="C106" s="1716" t="s">
        <v>429</v>
      </c>
      <c r="D106" s="1477"/>
      <c r="E106" s="1477"/>
      <c r="F106" s="1477"/>
      <c r="G106" s="1477"/>
      <c r="H106" s="1477"/>
      <c r="I106" s="1478"/>
      <c r="J106" s="1000">
        <f>SUM(J92:J105)</f>
        <v>416.43799999999999</v>
      </c>
      <c r="K106" s="1049"/>
      <c r="M106" s="1733" t="s">
        <v>904</v>
      </c>
      <c r="N106" s="1477"/>
      <c r="O106" s="1477"/>
      <c r="P106" s="1477"/>
      <c r="Q106" s="1477"/>
      <c r="R106" s="1477"/>
      <c r="S106" s="1478"/>
      <c r="T106" s="1075">
        <f>ROUND(S80*15*S86*0.5,2)*0</f>
        <v>0</v>
      </c>
      <c r="U106" s="1076"/>
      <c r="V106" s="1077"/>
      <c r="W106" s="1077"/>
      <c r="X106" s="1077"/>
      <c r="Y106" s="1077"/>
    </row>
    <row r="107" spans="1:25" ht="17.25" customHeight="1">
      <c r="A107" s="1031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459"/>
    </row>
    <row r="108" spans="1:25" ht="22.5" customHeight="1">
      <c r="A108" s="1031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</row>
    <row r="109" spans="1:25" ht="19.5" customHeight="1">
      <c r="A109" s="1031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</row>
    <row r="110" spans="1:25" ht="19.5" customHeight="1">
      <c r="A110" s="1031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</row>
    <row r="111" spans="1:25" ht="19.5" customHeight="1">
      <c r="A111" s="1031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793" t="s">
        <v>390</v>
      </c>
      <c r="K111" s="783"/>
    </row>
    <row r="112" spans="1:25" ht="19.5" customHeight="1">
      <c r="A112" s="1031"/>
      <c r="B112" s="733" t="s">
        <v>388</v>
      </c>
      <c r="C112" s="1656" t="s">
        <v>905</v>
      </c>
      <c r="D112" s="1477"/>
      <c r="E112" s="1477"/>
      <c r="F112" s="1477"/>
      <c r="G112" s="1477"/>
      <c r="H112" s="1477"/>
      <c r="I112" s="1478"/>
      <c r="J112" s="824">
        <f>J72</f>
        <v>640.19000000000005</v>
      </c>
      <c r="K112" s="825"/>
    </row>
    <row r="113" spans="1:11" ht="19.5" customHeight="1">
      <c r="A113" s="1031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2122.0100000000002</v>
      </c>
      <c r="K113" s="825"/>
    </row>
    <row r="114" spans="1:11" ht="19.5" customHeight="1">
      <c r="A114" s="1031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416.43799999999999</v>
      </c>
      <c r="K114" s="825"/>
    </row>
    <row r="115" spans="1:11" ht="14.25" customHeight="1">
      <c r="A115" s="1031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3178.6380000000004</v>
      </c>
      <c r="K115" s="825"/>
    </row>
    <row r="116" spans="1:11" ht="14.25" customHeight="1">
      <c r="A116" s="1031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</row>
    <row r="117" spans="1:11" ht="18.75" customHeight="1">
      <c r="A117" s="1031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1054"/>
    </row>
    <row r="118" spans="1:11" ht="15.75" customHeight="1">
      <c r="A118" s="1031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805" t="s">
        <v>390</v>
      </c>
      <c r="K118" s="1055"/>
    </row>
    <row r="119" spans="1:11" ht="41.25" customHeight="1">
      <c r="A119" s="1031"/>
      <c r="B119" s="743" t="s">
        <v>312</v>
      </c>
      <c r="C119" s="1577" t="s">
        <v>906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28.12</v>
      </c>
      <c r="K119" s="1049"/>
    </row>
    <row r="120" spans="1:11" ht="15.75" customHeight="1">
      <c r="A120" s="1031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2.25</v>
      </c>
      <c r="K120" s="1049"/>
    </row>
    <row r="121" spans="1:11" ht="112.5" customHeight="1">
      <c r="A121" s="1031"/>
      <c r="B121" s="743" t="s">
        <v>316</v>
      </c>
      <c r="C121" s="1672" t="s">
        <v>907</v>
      </c>
      <c r="D121" s="1477"/>
      <c r="E121" s="1477"/>
      <c r="F121" s="1477"/>
      <c r="G121" s="1477"/>
      <c r="H121" s="1477"/>
      <c r="I121" s="830" t="str">
        <f>IF(J121&lt;J58*1.94%,"OK","VERIFIQUE")</f>
        <v>OK</v>
      </c>
      <c r="J121" s="796">
        <f>ROUND(((7/30)/$I$11)*$J$58*1,2)</f>
        <v>43.85</v>
      </c>
      <c r="K121" s="1049"/>
    </row>
    <row r="122" spans="1:11" ht="18.75" customHeight="1">
      <c r="A122" s="1031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14.82</v>
      </c>
      <c r="K122" s="1049"/>
    </row>
    <row r="123" spans="1:11" ht="36" customHeight="1">
      <c r="A123" s="1031"/>
      <c r="B123" s="743" t="s">
        <v>360</v>
      </c>
      <c r="C123" s="1577" t="s">
        <v>908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225.52</v>
      </c>
      <c r="K123" s="1049"/>
    </row>
    <row r="124" spans="1:11" ht="19.5" customHeight="1">
      <c r="A124" s="1031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314.56</v>
      </c>
      <c r="K124" s="1049"/>
    </row>
    <row r="125" spans="1:11" ht="15.75" customHeight="1">
      <c r="A125" s="1031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1056"/>
    </row>
    <row r="126" spans="1:11" ht="17.25" customHeight="1">
      <c r="A126" s="1031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</row>
    <row r="127" spans="1:11" ht="36" customHeight="1">
      <c r="A127" s="1031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</row>
    <row r="128" spans="1:11" ht="55.5" customHeight="1">
      <c r="A128" s="1031"/>
      <c r="B128" s="1663" t="s">
        <v>909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</row>
    <row r="129" spans="1:11" ht="40.5" customHeight="1">
      <c r="A129" s="1031"/>
      <c r="B129" s="832" t="s">
        <v>445</v>
      </c>
      <c r="C129" s="833">
        <f>J58</f>
        <v>5637.96</v>
      </c>
      <c r="D129" s="834" t="s">
        <v>446</v>
      </c>
      <c r="E129" s="1002" t="s">
        <v>910</v>
      </c>
      <c r="F129" s="1003">
        <f>J115-J92-J97-J105</f>
        <v>2762.2000000000003</v>
      </c>
      <c r="G129" s="834" t="s">
        <v>446</v>
      </c>
      <c r="H129" s="832" t="s">
        <v>448</v>
      </c>
      <c r="I129" s="833">
        <f>J124</f>
        <v>314.56</v>
      </c>
      <c r="J129" s="835">
        <f>C129+F129+I129</f>
        <v>8714.7199999999993</v>
      </c>
      <c r="K129" s="836"/>
    </row>
    <row r="130" spans="1:11" ht="30.75" customHeight="1">
      <c r="A130" s="1031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</row>
    <row r="131" spans="1:11" ht="15.75" customHeight="1">
      <c r="A131" s="1031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</row>
    <row r="132" spans="1:11" ht="17.25" customHeight="1">
      <c r="A132" s="1031"/>
      <c r="B132" s="1057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57" t="s">
        <v>390</v>
      </c>
      <c r="K132" s="1058"/>
    </row>
    <row r="133" spans="1:11" ht="48" customHeight="1">
      <c r="A133" s="1031"/>
      <c r="B133" s="743" t="s">
        <v>312</v>
      </c>
      <c r="C133" s="1656" t="s">
        <v>911</v>
      </c>
      <c r="D133" s="1477"/>
      <c r="E133" s="1477"/>
      <c r="F133" s="1477"/>
      <c r="G133" s="1477"/>
      <c r="H133" s="840">
        <v>9.0749999999999997E-2</v>
      </c>
      <c r="I133" s="1004">
        <f>I86</f>
        <v>0.33800000000000002</v>
      </c>
      <c r="J133" s="796">
        <f>IF('1-ABA-DE-CARREGAMENTO'!G81="S",(ROUND(H133*J58,2)*(1+I133)),IF('1-ABA-DE-CARREGAMENTO'!G81="N",0,"INFORME S ou N"))</f>
        <v>0</v>
      </c>
      <c r="K133" s="1049"/>
    </row>
    <row r="134" spans="1:11" ht="21" customHeight="1">
      <c r="A134" s="1031"/>
      <c r="B134" s="743" t="s">
        <v>314</v>
      </c>
      <c r="C134" s="1577" t="s">
        <v>912</v>
      </c>
      <c r="D134" s="1477"/>
      <c r="E134" s="1477"/>
      <c r="F134" s="1477"/>
      <c r="G134" s="1477"/>
      <c r="H134" s="1477"/>
      <c r="I134" s="1478"/>
      <c r="J134" s="796">
        <f>ROUND((1/30)/12*(J129),2)</f>
        <v>24.21</v>
      </c>
      <c r="K134" s="1049"/>
    </row>
    <row r="135" spans="1:11" ht="31.5" customHeight="1">
      <c r="A135" s="1031"/>
      <c r="B135" s="743" t="s">
        <v>316</v>
      </c>
      <c r="C135" s="1577" t="s">
        <v>913</v>
      </c>
      <c r="D135" s="1477"/>
      <c r="E135" s="1477"/>
      <c r="F135" s="1477"/>
      <c r="G135" s="1477"/>
      <c r="H135" s="1477"/>
      <c r="I135" s="1478"/>
      <c r="J135" s="796">
        <f>ROUND((5/30)/12*0.015*(J129),2)</f>
        <v>1.82</v>
      </c>
      <c r="K135" s="1049"/>
    </row>
    <row r="136" spans="1:11" ht="27" customHeight="1">
      <c r="A136" s="1031"/>
      <c r="B136" s="743" t="s">
        <v>318</v>
      </c>
      <c r="C136" s="1577" t="s">
        <v>914</v>
      </c>
      <c r="D136" s="1477"/>
      <c r="E136" s="1477"/>
      <c r="F136" s="1477"/>
      <c r="G136" s="1477"/>
      <c r="H136" s="1477"/>
      <c r="I136" s="1478"/>
      <c r="J136" s="796">
        <f>ROUND(((15/30)/12)*0.0078*(J129),2)</f>
        <v>2.83</v>
      </c>
      <c r="K136" s="1049"/>
    </row>
    <row r="137" spans="1:11" ht="27" customHeight="1">
      <c r="A137" s="1031"/>
      <c r="B137" s="843" t="s">
        <v>360</v>
      </c>
      <c r="C137" s="1676" t="s">
        <v>915</v>
      </c>
      <c r="D137" s="1477"/>
      <c r="E137" s="1477"/>
      <c r="F137" s="1477"/>
      <c r="G137" s="1477"/>
      <c r="H137" s="1477"/>
      <c r="I137" s="1478"/>
      <c r="J137" s="844">
        <f>ROUND(((((C129+C129/3)+(I86)*(C129+C129/3))*(4/12))/12)*0.02,2) + ((J106-J92-J97-J105+J124)*4/12)*0.02</f>
        <v>7.6870666666666665</v>
      </c>
      <c r="K137" s="1059"/>
    </row>
    <row r="138" spans="1:11" ht="49.5" customHeight="1">
      <c r="A138" s="1031"/>
      <c r="B138" s="743" t="s">
        <v>364</v>
      </c>
      <c r="C138" s="1577" t="s">
        <v>916</v>
      </c>
      <c r="D138" s="1477"/>
      <c r="E138" s="1477"/>
      <c r="F138" s="1477"/>
      <c r="G138" s="1477"/>
      <c r="H138" s="1477"/>
      <c r="I138" s="1478"/>
      <c r="J138" s="796">
        <f>ROUND(((3/30)/12)*(J129),2)</f>
        <v>72.62</v>
      </c>
      <c r="K138" s="1049"/>
    </row>
    <row r="139" spans="1:11" ht="19.5" customHeight="1">
      <c r="A139" s="1031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109.16706666666667</v>
      </c>
      <c r="K139" s="1049"/>
    </row>
    <row r="140" spans="1:11" ht="19.5" customHeight="1">
      <c r="A140" s="1031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1056"/>
    </row>
    <row r="141" spans="1:11" ht="19.5" customHeight="1">
      <c r="A141" s="1031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931"/>
    </row>
    <row r="142" spans="1:11" ht="19.5" customHeight="1">
      <c r="A142" s="1031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1060"/>
    </row>
    <row r="143" spans="1:11" ht="19.5" customHeight="1">
      <c r="A143" s="1031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1061"/>
    </row>
    <row r="144" spans="1:11" ht="19.5" customHeight="1">
      <c r="A144" s="1031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1061"/>
    </row>
    <row r="145" spans="1:11" ht="19.5" customHeight="1">
      <c r="A145" s="1031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1062"/>
    </row>
    <row r="146" spans="1:11" ht="19.5" customHeight="1">
      <c r="A146" s="1031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1048"/>
    </row>
    <row r="147" spans="1:11" ht="19.5" customHeight="1">
      <c r="A147" s="1031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1060"/>
    </row>
    <row r="148" spans="1:11" ht="28.5" customHeight="1">
      <c r="A148" s="1031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109.16706666666667</v>
      </c>
      <c r="K148" s="1061"/>
    </row>
    <row r="149" spans="1:11" ht="24" customHeight="1">
      <c r="A149" s="1031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1061"/>
    </row>
    <row r="150" spans="1:11" ht="14.25" customHeight="1">
      <c r="A150" s="1031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109.16706666666667</v>
      </c>
      <c r="K150" s="1061"/>
    </row>
    <row r="151" spans="1:11" ht="15.75" customHeight="1">
      <c r="A151" s="1031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1062"/>
    </row>
    <row r="152" spans="1:11" ht="15.75" customHeight="1">
      <c r="A152" s="1031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</row>
    <row r="153" spans="1:11" ht="15.75" customHeight="1">
      <c r="A153" s="1031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805" t="s">
        <v>390</v>
      </c>
      <c r="K153" s="1055"/>
    </row>
    <row r="154" spans="1:11" ht="15.75" customHeight="1">
      <c r="A154" s="1031"/>
      <c r="B154" s="743" t="s">
        <v>312</v>
      </c>
      <c r="C154" s="1577" t="s">
        <v>296</v>
      </c>
      <c r="D154" s="1477"/>
      <c r="E154" s="1477"/>
      <c r="F154" s="1477"/>
      <c r="G154" s="1477"/>
      <c r="H154" s="1477"/>
      <c r="I154" s="1478"/>
      <c r="J154" s="853">
        <f>'Uniformes - EPIs_TODOS'!I9</f>
        <v>1.7210000000000001</v>
      </c>
      <c r="K154" s="1049"/>
    </row>
    <row r="155" spans="1:11" ht="15.75" customHeight="1">
      <c r="A155" s="1031"/>
      <c r="B155" s="743" t="s">
        <v>314</v>
      </c>
      <c r="C155" s="1577" t="s">
        <v>639</v>
      </c>
      <c r="D155" s="1477"/>
      <c r="E155" s="1477"/>
      <c r="F155" s="1477"/>
      <c r="G155" s="1477"/>
      <c r="H155" s="1477"/>
      <c r="I155" s="1478"/>
      <c r="J155" s="881">
        <v>0</v>
      </c>
      <c r="K155" s="789"/>
    </row>
    <row r="156" spans="1:11" ht="15.75" customHeight="1">
      <c r="A156" s="1031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81" t="s">
        <v>640</v>
      </c>
      <c r="K156" s="789"/>
    </row>
    <row r="157" spans="1:11" ht="19.5" customHeight="1">
      <c r="A157" s="1031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1.72</v>
      </c>
      <c r="K157" s="789"/>
    </row>
    <row r="158" spans="1:11" ht="15.75" customHeight="1">
      <c r="A158" s="1031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1063"/>
    </row>
    <row r="159" spans="1:11" ht="27.75" customHeight="1">
      <c r="A159" s="1031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52"/>
    </row>
    <row r="160" spans="1:11" ht="19.5" customHeight="1">
      <c r="A160" s="1031"/>
      <c r="B160" s="859"/>
      <c r="C160" s="860"/>
      <c r="D160" s="860"/>
      <c r="E160" s="860"/>
      <c r="F160" s="860"/>
      <c r="G160" s="860"/>
      <c r="H160" s="860"/>
      <c r="I160" s="860"/>
      <c r="J160" s="861"/>
      <c r="K160" s="315"/>
    </row>
    <row r="161" spans="1:11" ht="24" customHeight="1">
      <c r="A161" s="1031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1054"/>
    </row>
    <row r="162" spans="1:11" ht="30" customHeight="1">
      <c r="A162" s="1031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</row>
    <row r="163" spans="1:11" ht="54" customHeight="1">
      <c r="A163" s="1031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1009">
        <f>SUM(J63+J115+J124+J150+J157)</f>
        <v>9242.0450666666657</v>
      </c>
      <c r="K163" s="1064"/>
    </row>
    <row r="164" spans="1:11" ht="23.25" customHeight="1">
      <c r="A164" s="1031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'1-ABA-DE-CARREGAMENTO'!G85</f>
        <v>0.06</v>
      </c>
      <c r="J164" s="1010">
        <f>ROUND(I164*(J163),2)</f>
        <v>554.52</v>
      </c>
      <c r="K164" s="1049"/>
    </row>
    <row r="165" spans="1:11" ht="51" customHeight="1">
      <c r="A165" s="1031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1009">
        <f>SUM(J63+J115+J124+J150+J157+J164)</f>
        <v>9796.5650666666661</v>
      </c>
      <c r="K165" s="1064"/>
    </row>
    <row r="166" spans="1:11" ht="19.5" customHeight="1">
      <c r="A166" s="1031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'1-ABA-DE-CARREGAMENTO'!G86</f>
        <v>0.06</v>
      </c>
      <c r="J166" s="1010">
        <f>ROUND(I166*J165,2)</f>
        <v>587.79</v>
      </c>
      <c r="K166" s="1049"/>
    </row>
    <row r="167" spans="1:11" ht="54" customHeight="1">
      <c r="A167" s="1031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1009">
        <f>SUM(J163+J164+J166)</f>
        <v>10384.355066666667</v>
      </c>
      <c r="K167" s="1064"/>
    </row>
    <row r="168" spans="1:11" ht="18.75" customHeight="1">
      <c r="A168" s="1031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1011" t="s">
        <v>325</v>
      </c>
      <c r="K168" s="1046"/>
    </row>
    <row r="169" spans="1:11" ht="30" customHeight="1">
      <c r="A169" s="1031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1011" t="s">
        <v>325</v>
      </c>
      <c r="K169" s="1046"/>
    </row>
    <row r="170" spans="1:11" ht="30" customHeight="1">
      <c r="A170" s="1031"/>
      <c r="B170" s="743"/>
      <c r="C170" s="1590" t="s">
        <v>917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010">
        <f t="shared" ref="J170:J171" si="4">ROUND(($J$167/(1-$I$179))*I170,2)</f>
        <v>193.06</v>
      </c>
      <c r="K170" s="1065"/>
    </row>
    <row r="171" spans="1:11" ht="25.5" customHeight="1">
      <c r="A171" s="1031"/>
      <c r="B171" s="743"/>
      <c r="C171" s="1590" t="s">
        <v>918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010">
        <f t="shared" si="4"/>
        <v>889.25</v>
      </c>
      <c r="K171" s="1065"/>
    </row>
    <row r="172" spans="1:11" ht="23.25" customHeight="1">
      <c r="A172" s="1031"/>
      <c r="B172" s="743"/>
      <c r="C172" s="1577" t="s">
        <v>919</v>
      </c>
      <c r="D172" s="1477"/>
      <c r="E172" s="1477"/>
      <c r="F172" s="1477"/>
      <c r="G172" s="1477"/>
      <c r="H172" s="1478"/>
      <c r="I172" s="872" t="s">
        <v>325</v>
      </c>
      <c r="J172" s="1011" t="s">
        <v>325</v>
      </c>
      <c r="K172" s="1046"/>
    </row>
    <row r="173" spans="1:11" ht="23.25" customHeight="1">
      <c r="A173" s="1031"/>
      <c r="B173" s="743"/>
      <c r="C173" s="1577" t="s">
        <v>920</v>
      </c>
      <c r="D173" s="1477"/>
      <c r="E173" s="1477"/>
      <c r="F173" s="1477"/>
      <c r="G173" s="1477"/>
      <c r="H173" s="1478"/>
      <c r="I173" s="872" t="s">
        <v>325</v>
      </c>
      <c r="J173" s="1011" t="s">
        <v>325</v>
      </c>
      <c r="K173" s="1046"/>
    </row>
    <row r="174" spans="1:11" ht="15.75" customHeight="1">
      <c r="A174" s="1031"/>
      <c r="B174" s="743"/>
      <c r="C174" s="1577" t="s">
        <v>483</v>
      </c>
      <c r="D174" s="1477"/>
      <c r="E174" s="1477"/>
      <c r="F174" s="1477"/>
      <c r="G174" s="1477"/>
      <c r="H174" s="1477"/>
      <c r="I174" s="1066" t="s">
        <v>325</v>
      </c>
      <c r="J174" s="1011" t="s">
        <v>325</v>
      </c>
      <c r="K174" s="1067"/>
    </row>
    <row r="175" spans="1:11" ht="15.75" customHeight="1">
      <c r="A175" s="1031"/>
      <c r="B175" s="743"/>
      <c r="C175" s="1577" t="s">
        <v>484</v>
      </c>
      <c r="D175" s="1477"/>
      <c r="E175" s="1477"/>
      <c r="F175" s="1477"/>
      <c r="G175" s="1477"/>
      <c r="H175" s="1477"/>
      <c r="I175" s="1066" t="s">
        <v>325</v>
      </c>
      <c r="J175" s="1011" t="s">
        <v>325</v>
      </c>
      <c r="K175" s="1067"/>
    </row>
    <row r="176" spans="1:11" ht="15.75" customHeight="1">
      <c r="A176" s="1031"/>
      <c r="B176" s="743"/>
      <c r="C176" s="1577" t="s">
        <v>921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010">
        <f>ROUND(($J$167/(1-$I$179))*I176,2)</f>
        <v>234.01</v>
      </c>
      <c r="K176" s="1065"/>
    </row>
    <row r="177" spans="1:11" ht="15.75" customHeight="1">
      <c r="A177" s="1031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1000">
        <f>SUM(J164+J166+J170+J171+J176)</f>
        <v>2458.63</v>
      </c>
      <c r="K177" s="1049"/>
    </row>
    <row r="178" spans="1:11" ht="15.75" customHeight="1">
      <c r="A178" s="1031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1056"/>
    </row>
    <row r="179" spans="1:11" ht="15.75" customHeight="1">
      <c r="A179" s="1031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5">SUM(I170:I176)</f>
        <v>0.1125</v>
      </c>
      <c r="J179" s="866">
        <f t="shared" si="5"/>
        <v>1316.32</v>
      </c>
      <c r="K179" s="1064"/>
    </row>
    <row r="180" spans="1:11" ht="15.75" customHeight="1">
      <c r="A180" s="1031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5"/>
    </row>
    <row r="181" spans="1:11" ht="15.75" customHeight="1">
      <c r="A181" s="1031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7"/>
    </row>
    <row r="182" spans="1:11" ht="15.75" customHeight="1">
      <c r="A182" s="1031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5"/>
    </row>
    <row r="183" spans="1:11" ht="9" customHeight="1">
      <c r="A183" s="1031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1068"/>
    </row>
    <row r="184" spans="1:11" ht="25.5" customHeight="1">
      <c r="A184" s="1031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</row>
    <row r="185" spans="1:11" ht="8.25" customHeight="1">
      <c r="A185" s="1031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1056"/>
    </row>
    <row r="186" spans="1:11" ht="15.75" customHeight="1">
      <c r="A186" s="1031"/>
      <c r="B186" s="1674" t="s">
        <v>922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</row>
    <row r="187" spans="1:11" ht="15.75" customHeight="1">
      <c r="A187" s="1031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863" t="s">
        <v>390</v>
      </c>
      <c r="K187" s="697"/>
    </row>
    <row r="188" spans="1:11" ht="15.75" customHeight="1">
      <c r="A188" s="1031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5637.96</v>
      </c>
      <c r="K188" s="789"/>
    </row>
    <row r="189" spans="1:11" ht="15.75" customHeight="1">
      <c r="A189" s="1031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3178.6380000000004</v>
      </c>
      <c r="K189" s="789"/>
    </row>
    <row r="190" spans="1:11" ht="15.75" customHeight="1">
      <c r="A190" s="1031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314.56</v>
      </c>
      <c r="K190" s="789"/>
    </row>
    <row r="191" spans="1:11" ht="15.75" customHeight="1">
      <c r="A191" s="1031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109.16706666666667</v>
      </c>
      <c r="K191" s="789"/>
    </row>
    <row r="192" spans="1:11" ht="15.75" customHeight="1">
      <c r="A192" s="1031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1.72</v>
      </c>
      <c r="K192" s="789"/>
    </row>
    <row r="193" spans="1:12" ht="15.75" customHeight="1">
      <c r="A193" s="1031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9242.0499999999993</v>
      </c>
      <c r="K193" s="789"/>
    </row>
    <row r="194" spans="1:12" ht="15.75" customHeight="1">
      <c r="A194" s="1031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2458.63</v>
      </c>
      <c r="K194" s="789"/>
    </row>
    <row r="195" spans="1:12" ht="15.75" customHeight="1">
      <c r="A195" s="1031"/>
      <c r="B195" s="1600" t="s">
        <v>647</v>
      </c>
      <c r="C195" s="1477"/>
      <c r="D195" s="1477"/>
      <c r="E195" s="1477"/>
      <c r="F195" s="1477"/>
      <c r="G195" s="1477"/>
      <c r="H195" s="1477"/>
      <c r="I195" s="1521"/>
      <c r="J195" s="857">
        <f>J193+J194</f>
        <v>11700.68</v>
      </c>
      <c r="K195" s="789"/>
    </row>
    <row r="196" spans="1:12" ht="15.75" customHeight="1">
      <c r="A196" s="1031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</row>
    <row r="197" spans="1:12" ht="9" customHeight="1">
      <c r="A197" s="1031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</row>
    <row r="198" spans="1:12" ht="15.75" customHeight="1">
      <c r="A198" s="1031"/>
      <c r="B198" s="885"/>
      <c r="C198" s="723"/>
      <c r="D198" s="723"/>
      <c r="E198" s="723"/>
      <c r="F198" s="723"/>
      <c r="G198" s="723"/>
      <c r="H198" s="723"/>
      <c r="I198" s="1069"/>
      <c r="J198" s="1070"/>
      <c r="K198" s="1069"/>
    </row>
    <row r="199" spans="1:12" ht="15.75" customHeight="1">
      <c r="A199" s="1031"/>
      <c r="B199" s="1693" t="s">
        <v>502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</row>
    <row r="200" spans="1:12" ht="61.5" customHeight="1">
      <c r="A200" s="1031"/>
      <c r="B200" s="1641" t="s">
        <v>503</v>
      </c>
      <c r="C200" s="1477"/>
      <c r="D200" s="1477"/>
      <c r="E200" s="1478"/>
      <c r="F200" s="889" t="s">
        <v>648</v>
      </c>
      <c r="G200" s="890"/>
      <c r="H200" s="891" t="s">
        <v>506</v>
      </c>
      <c r="I200" s="1641" t="s">
        <v>507</v>
      </c>
      <c r="J200" s="1478"/>
      <c r="K200" s="697"/>
    </row>
    <row r="201" spans="1:12" ht="35.25" hidden="1" customHeight="1" outlineLevel="1">
      <c r="A201" s="1031"/>
      <c r="B201" s="1577" t="s">
        <v>508</v>
      </c>
      <c r="C201" s="1477"/>
      <c r="D201" s="1477"/>
      <c r="E201" s="1478"/>
      <c r="F201" s="1694">
        <v>0</v>
      </c>
      <c r="G201" s="1478"/>
      <c r="H201" s="892">
        <f t="shared" ref="H201:H202" si="6">E201*F201</f>
        <v>0</v>
      </c>
      <c r="I201" s="1694">
        <f t="shared" ref="I201:I202" si="7">F201*H201</f>
        <v>0</v>
      </c>
      <c r="J201" s="1478"/>
      <c r="K201" s="770"/>
    </row>
    <row r="202" spans="1:12" ht="35.25" hidden="1" customHeight="1" outlineLevel="1">
      <c r="A202" s="1031"/>
      <c r="B202" s="1577" t="s">
        <v>509</v>
      </c>
      <c r="C202" s="1477"/>
      <c r="D202" s="1477"/>
      <c r="E202" s="1478"/>
      <c r="F202" s="1694">
        <v>0</v>
      </c>
      <c r="G202" s="1478"/>
      <c r="H202" s="893">
        <f t="shared" si="6"/>
        <v>0</v>
      </c>
      <c r="I202" s="1694">
        <f t="shared" si="7"/>
        <v>0</v>
      </c>
      <c r="J202" s="1478"/>
      <c r="K202" s="770"/>
    </row>
    <row r="203" spans="1:12" ht="35.25" customHeight="1" collapsed="1">
      <c r="A203" s="1031"/>
      <c r="B203" s="1609" t="str">
        <f>B3</f>
        <v>2394-25_PSICOPEGAGOGO_40h</v>
      </c>
      <c r="C203" s="1477"/>
      <c r="D203" s="1477"/>
      <c r="E203" s="1478"/>
      <c r="F203" s="894">
        <f>J195</f>
        <v>11700.68</v>
      </c>
      <c r="G203" s="895">
        <f>I40</f>
        <v>1</v>
      </c>
      <c r="H203" s="1071"/>
      <c r="I203" s="1695">
        <f>F203*G203</f>
        <v>11700.68</v>
      </c>
      <c r="J203" s="1478"/>
      <c r="K203" s="897" t="s">
        <v>510</v>
      </c>
      <c r="L203" s="897" t="str">
        <f>B3</f>
        <v>2394-25_PSICOPEGAGOGO_40h</v>
      </c>
    </row>
    <row r="204" spans="1:12" ht="35.25" hidden="1" customHeight="1" outlineLevel="1">
      <c r="A204" s="1031"/>
      <c r="B204" s="1577" t="s">
        <v>511</v>
      </c>
      <c r="C204" s="1477"/>
      <c r="D204" s="1477"/>
      <c r="E204" s="1478"/>
      <c r="F204" s="1696">
        <v>0</v>
      </c>
      <c r="G204" s="1478"/>
      <c r="H204" s="898">
        <f t="shared" ref="H204:I204" si="8">E204*G204</f>
        <v>0</v>
      </c>
      <c r="I204" s="1696">
        <f t="shared" si="8"/>
        <v>0</v>
      </c>
      <c r="J204" s="1478"/>
      <c r="K204" s="770"/>
      <c r="L204" s="770"/>
    </row>
    <row r="205" spans="1:12" ht="35.25" hidden="1" customHeight="1" outlineLevel="1">
      <c r="A205" s="1031"/>
      <c r="B205" s="1577" t="s">
        <v>512</v>
      </c>
      <c r="C205" s="1477"/>
      <c r="D205" s="1477"/>
      <c r="E205" s="1478"/>
      <c r="F205" s="1696">
        <v>0</v>
      </c>
      <c r="G205" s="1478"/>
      <c r="H205" s="898">
        <f t="shared" ref="H205:I205" si="9">E205*G205</f>
        <v>0</v>
      </c>
      <c r="I205" s="1696">
        <f t="shared" si="9"/>
        <v>0</v>
      </c>
      <c r="J205" s="1478"/>
      <c r="K205" s="770"/>
      <c r="L205" s="770"/>
    </row>
    <row r="206" spans="1:12" ht="15.75" hidden="1" customHeight="1" outlineLevel="1">
      <c r="A206" s="1031"/>
      <c r="B206" s="1730" t="s">
        <v>923</v>
      </c>
      <c r="C206" s="1477"/>
      <c r="D206" s="1477"/>
      <c r="E206" s="1478"/>
      <c r="F206" s="1694">
        <v>0</v>
      </c>
      <c r="G206" s="1478"/>
      <c r="H206" s="898">
        <f t="shared" ref="H206:I206" si="10">E206*G206</f>
        <v>0</v>
      </c>
      <c r="I206" s="1696">
        <f t="shared" si="10"/>
        <v>0</v>
      </c>
      <c r="J206" s="1478"/>
      <c r="K206" s="770"/>
      <c r="L206" s="770"/>
    </row>
    <row r="207" spans="1:12" ht="29.25" customHeight="1" collapsed="1">
      <c r="A207" s="1031"/>
      <c r="B207" s="1699" t="s">
        <v>514</v>
      </c>
      <c r="C207" s="1477"/>
      <c r="D207" s="1477"/>
      <c r="E207" s="1477"/>
      <c r="F207" s="1477"/>
      <c r="G207" s="1478"/>
      <c r="H207" s="899">
        <f>I17</f>
        <v>1</v>
      </c>
      <c r="I207" s="1697">
        <f>H207*I203</f>
        <v>11700.68</v>
      </c>
      <c r="J207" s="1478"/>
      <c r="K207" s="900"/>
      <c r="L207" s="900"/>
    </row>
    <row r="208" spans="1:12" ht="8.25" customHeight="1">
      <c r="A208" s="1031"/>
      <c r="B208" s="1723"/>
      <c r="C208" s="1705"/>
      <c r="D208" s="1705"/>
      <c r="E208" s="1705"/>
      <c r="F208" s="1705"/>
      <c r="G208" s="1705"/>
      <c r="H208" s="1705"/>
      <c r="I208" s="1705"/>
      <c r="J208" s="1706"/>
      <c r="K208" s="777"/>
      <c r="L208" s="777"/>
    </row>
    <row r="209" spans="1:12" ht="15.75" customHeight="1">
      <c r="A209" s="1031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  <c r="L209" s="730"/>
    </row>
    <row r="210" spans="1:12" ht="6" customHeight="1">
      <c r="A210" s="1031"/>
      <c r="B210" s="1724"/>
      <c r="C210" s="1477"/>
      <c r="D210" s="1477"/>
      <c r="E210" s="1477"/>
      <c r="F210" s="1477"/>
      <c r="G210" s="1477"/>
      <c r="H210" s="1477"/>
      <c r="I210" s="1477"/>
      <c r="J210" s="1478"/>
      <c r="K210" s="723"/>
      <c r="L210" s="723"/>
    </row>
    <row r="211" spans="1:12" ht="21" customHeight="1">
      <c r="A211" s="1031"/>
      <c r="B211" s="1563" t="s">
        <v>516</v>
      </c>
      <c r="C211" s="1477"/>
      <c r="D211" s="1477"/>
      <c r="E211" s="1477"/>
      <c r="F211" s="1477"/>
      <c r="G211" s="1478"/>
      <c r="H211" s="1564">
        <f>$I$207</f>
        <v>11700.68</v>
      </c>
      <c r="I211" s="1477"/>
      <c r="J211" s="1478"/>
      <c r="K211" s="901"/>
      <c r="L211" s="901"/>
    </row>
    <row r="212" spans="1:12" ht="6" customHeight="1">
      <c r="A212" s="1031"/>
      <c r="B212" s="1725"/>
      <c r="C212" s="1528"/>
      <c r="D212" s="1528"/>
      <c r="E212" s="1528"/>
      <c r="F212" s="1528"/>
      <c r="G212" s="1528"/>
      <c r="H212" s="1528"/>
      <c r="I212" s="1528"/>
      <c r="J212" s="1566"/>
      <c r="K212" s="858"/>
      <c r="L212" s="858"/>
    </row>
    <row r="213" spans="1:12" ht="18.75" customHeight="1">
      <c r="A213" s="1031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  <c r="L213" s="902"/>
    </row>
    <row r="214" spans="1:12" ht="6.75" customHeight="1">
      <c r="A214" s="1031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  <c r="L214" s="903"/>
    </row>
    <row r="215" spans="1:12" ht="18.75" customHeight="1">
      <c r="A215" s="1031"/>
      <c r="B215" s="1563" t="s">
        <v>924</v>
      </c>
      <c r="C215" s="1477"/>
      <c r="D215" s="1477"/>
      <c r="E215" s="1477"/>
      <c r="F215" s="1477"/>
      <c r="G215" s="1478"/>
      <c r="H215" s="1569">
        <f>ROUND(H211*H213,2)</f>
        <v>351020.4</v>
      </c>
      <c r="I215" s="1477"/>
      <c r="J215" s="1478"/>
      <c r="K215" s="901"/>
      <c r="L215" s="901"/>
    </row>
    <row r="216" spans="1:12" ht="6" customHeight="1">
      <c r="A216" s="1031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  <c r="L216" s="723"/>
    </row>
    <row r="217" spans="1:12" ht="15.75" customHeight="1">
      <c r="A217" s="1031"/>
      <c r="B217" s="1031"/>
      <c r="C217" s="1031"/>
      <c r="D217" s="1031"/>
      <c r="E217" s="1031"/>
      <c r="F217" s="1031"/>
      <c r="G217" s="1031"/>
      <c r="H217" s="1031"/>
      <c r="I217" s="1031"/>
      <c r="J217" s="1031"/>
      <c r="K217" s="718"/>
      <c r="L217" s="718"/>
    </row>
    <row r="218" spans="1:12" ht="22.5" customHeight="1">
      <c r="B218" s="1031"/>
      <c r="C218" s="1031"/>
      <c r="D218" s="1031"/>
      <c r="E218" s="1031"/>
      <c r="F218" s="1031"/>
      <c r="G218" s="1031"/>
      <c r="H218" s="1031"/>
      <c r="I218" s="1031"/>
      <c r="J218" s="1031"/>
      <c r="K218" s="904"/>
      <c r="L218" s="904"/>
    </row>
    <row r="219" spans="1:12" ht="34.5" hidden="1" customHeight="1" outlineLevel="1">
      <c r="B219" s="905" t="s">
        <v>925</v>
      </c>
      <c r="C219" s="906"/>
      <c r="D219" s="906"/>
      <c r="E219" s="906"/>
      <c r="F219" s="906"/>
      <c r="G219" s="907" t="str">
        <f>B3</f>
        <v>2394-25_PSICOPEGAGOGO_40h</v>
      </c>
      <c r="H219" s="906"/>
      <c r="I219" s="906"/>
      <c r="J219" s="906"/>
      <c r="K219" s="904"/>
      <c r="L219" s="904"/>
    </row>
    <row r="220" spans="1:12" ht="15.75" hidden="1" customHeight="1" outlineLevel="1">
      <c r="B220" s="1571" t="s">
        <v>352</v>
      </c>
      <c r="C220" s="1477"/>
      <c r="D220" s="1477"/>
      <c r="E220" s="1477"/>
      <c r="F220" s="1477"/>
      <c r="G220" s="1477"/>
      <c r="H220" s="1477"/>
      <c r="I220" s="1477"/>
      <c r="J220" s="1478"/>
      <c r="K220" s="900"/>
      <c r="L220" s="900"/>
    </row>
    <row r="221" spans="1:12" ht="15.75" hidden="1" customHeight="1" outlineLevel="1">
      <c r="B221" s="753">
        <v>1</v>
      </c>
      <c r="C221" s="1603" t="s">
        <v>831</v>
      </c>
      <c r="D221" s="1477"/>
      <c r="E221" s="1477"/>
      <c r="F221" s="1477"/>
      <c r="G221" s="1477"/>
      <c r="H221" s="1478"/>
      <c r="I221" s="754" t="s">
        <v>354</v>
      </c>
      <c r="J221" s="753" t="s">
        <v>355</v>
      </c>
      <c r="K221" s="900"/>
      <c r="L221" s="900"/>
    </row>
    <row r="222" spans="1:12" ht="32.25" hidden="1" customHeight="1" outlineLevel="1">
      <c r="B222" s="696" t="s">
        <v>360</v>
      </c>
      <c r="C222" s="1573" t="s">
        <v>926</v>
      </c>
      <c r="D222" s="1477"/>
      <c r="E222" s="1478"/>
      <c r="F222" s="763" t="s">
        <v>362</v>
      </c>
      <c r="G222" s="909">
        <v>0</v>
      </c>
      <c r="H222" s="763" t="s">
        <v>522</v>
      </c>
      <c r="I222" s="765">
        <f>I33*0.2</f>
        <v>5.1254181818181825</v>
      </c>
      <c r="J222" s="766">
        <f t="shared" ref="J222:J224" si="11">G222*I222</f>
        <v>0</v>
      </c>
      <c r="K222" s="910"/>
      <c r="L222" s="910"/>
    </row>
    <row r="223" spans="1:12" ht="32.25" hidden="1" customHeight="1" outlineLevel="1">
      <c r="B223" s="696" t="s">
        <v>368</v>
      </c>
      <c r="C223" s="1574" t="s">
        <v>927</v>
      </c>
      <c r="D223" s="1575"/>
      <c r="E223" s="1575"/>
      <c r="F223" s="763" t="s">
        <v>370</v>
      </c>
      <c r="G223" s="909">
        <v>0</v>
      </c>
      <c r="H223" s="763" t="s">
        <v>524</v>
      </c>
      <c r="I223" s="765">
        <f>I33*1.5</f>
        <v>38.440636363636365</v>
      </c>
      <c r="J223" s="766">
        <f t="shared" si="11"/>
        <v>0</v>
      </c>
      <c r="K223" s="910"/>
      <c r="L223" s="910"/>
    </row>
    <row r="224" spans="1:12" ht="32.25" hidden="1" customHeight="1" outlineLevel="1">
      <c r="B224" s="696" t="s">
        <v>372</v>
      </c>
      <c r="C224" s="1574" t="s">
        <v>928</v>
      </c>
      <c r="D224" s="1575"/>
      <c r="E224" s="1575"/>
      <c r="F224" s="763" t="s">
        <v>374</v>
      </c>
      <c r="G224" s="909">
        <v>0</v>
      </c>
      <c r="H224" s="763" t="s">
        <v>526</v>
      </c>
      <c r="I224" s="765">
        <f>I33*2</f>
        <v>51.25418181818182</v>
      </c>
      <c r="J224" s="767">
        <f t="shared" si="11"/>
        <v>0</v>
      </c>
      <c r="K224" s="910"/>
      <c r="L224" s="910"/>
    </row>
    <row r="225" spans="2:12" ht="32.25" hidden="1" customHeight="1" outlineLevel="1">
      <c r="B225" s="696" t="s">
        <v>376</v>
      </c>
      <c r="C225" s="1576" t="s">
        <v>929</v>
      </c>
      <c r="D225" s="1419"/>
      <c r="E225" s="1419"/>
      <c r="F225" s="763" t="s">
        <v>378</v>
      </c>
      <c r="G225" s="768">
        <f>SUM(G222:G224)*0.2</f>
        <v>0</v>
      </c>
      <c r="H225" s="763"/>
      <c r="I225" s="765"/>
      <c r="J225" s="767">
        <f>ROUND(SUM(J222:J224)*0.2,2)</f>
        <v>0</v>
      </c>
      <c r="K225" s="910"/>
      <c r="L225" s="910"/>
    </row>
    <row r="226" spans="2:12" ht="15.75" hidden="1" customHeight="1" outlineLevel="1">
      <c r="B226" s="696" t="s">
        <v>379</v>
      </c>
      <c r="C226" s="1577" t="s">
        <v>380</v>
      </c>
      <c r="D226" s="1477"/>
      <c r="E226" s="1477"/>
      <c r="F226" s="1477"/>
      <c r="G226" s="1477"/>
      <c r="H226" s="1477"/>
      <c r="I226" s="1478"/>
      <c r="J226" s="769" t="s">
        <v>325</v>
      </c>
      <c r="K226" s="900"/>
      <c r="L226" s="900"/>
    </row>
    <row r="227" spans="2:12" ht="43.5" hidden="1" customHeight="1" outlineLevel="1">
      <c r="B227" s="1578" t="s">
        <v>836</v>
      </c>
      <c r="C227" s="1477"/>
      <c r="D227" s="1477"/>
      <c r="E227" s="1477"/>
      <c r="F227" s="1477"/>
      <c r="G227" s="1477"/>
      <c r="H227" s="1477"/>
      <c r="I227" s="1478"/>
      <c r="J227" s="775">
        <f>SUM(J222:J226)</f>
        <v>0</v>
      </c>
      <c r="K227" s="900"/>
      <c r="L227" s="900"/>
    </row>
    <row r="228" spans="2:12" ht="15.75" hidden="1" customHeight="1" outlineLevel="1">
      <c r="B228" s="908"/>
      <c r="C228" s="908"/>
      <c r="D228" s="908"/>
      <c r="E228" s="908"/>
      <c r="F228" s="908"/>
      <c r="G228" s="908"/>
      <c r="H228" s="908"/>
      <c r="I228" s="908"/>
      <c r="J228" s="908"/>
      <c r="K228" s="900"/>
      <c r="L228" s="900"/>
    </row>
    <row r="229" spans="2:12" ht="42.75" hidden="1" customHeight="1" outlineLevel="1">
      <c r="B229" s="1579" t="s">
        <v>386</v>
      </c>
      <c r="C229" s="1477"/>
      <c r="D229" s="1477"/>
      <c r="E229" s="1477"/>
      <c r="F229" s="1477"/>
      <c r="G229" s="1477"/>
      <c r="H229" s="1477"/>
      <c r="I229" s="1477"/>
      <c r="J229" s="1478"/>
      <c r="K229" s="900"/>
      <c r="L229" s="900"/>
    </row>
    <row r="230" spans="2:12" ht="45" hidden="1" customHeight="1" outlineLevel="1">
      <c r="B230" s="1580" t="s">
        <v>837</v>
      </c>
      <c r="C230" s="1477"/>
      <c r="D230" s="1477"/>
      <c r="E230" s="1477"/>
      <c r="F230" s="1477"/>
      <c r="G230" s="1477"/>
      <c r="H230" s="1477"/>
      <c r="I230" s="1477"/>
      <c r="J230" s="1478"/>
      <c r="K230" s="900"/>
      <c r="L230" s="900"/>
    </row>
    <row r="231" spans="2:12" ht="30.75" hidden="1" customHeight="1" outlineLevel="1">
      <c r="B231" s="911">
        <v>45659</v>
      </c>
      <c r="C231" s="1581" t="s">
        <v>530</v>
      </c>
      <c r="D231" s="1477"/>
      <c r="E231" s="1477"/>
      <c r="F231" s="1477"/>
      <c r="G231" s="1477"/>
      <c r="H231" s="1477"/>
      <c r="I231" s="1478"/>
      <c r="J231" s="912" t="s">
        <v>390</v>
      </c>
      <c r="K231" s="900"/>
      <c r="L231" s="900"/>
    </row>
    <row r="232" spans="2:12" ht="30.75" hidden="1" customHeight="1" outlineLevel="1">
      <c r="B232" s="912" t="s">
        <v>312</v>
      </c>
      <c r="C232" s="1553" t="s">
        <v>531</v>
      </c>
      <c r="D232" s="1477"/>
      <c r="E232" s="1477"/>
      <c r="F232" s="1477"/>
      <c r="G232" s="1477"/>
      <c r="H232" s="1478"/>
      <c r="I232" s="913">
        <f t="shared" ref="I232:I233" si="12">I70</f>
        <v>8.3299999999999999E-2</v>
      </c>
      <c r="J232" s="766">
        <f>J227*I232</f>
        <v>0</v>
      </c>
      <c r="K232" s="900"/>
      <c r="L232" s="900"/>
    </row>
    <row r="233" spans="2:12" ht="49.5" hidden="1" customHeight="1" outlineLevel="1">
      <c r="B233" s="912" t="s">
        <v>314</v>
      </c>
      <c r="C233" s="1582" t="s">
        <v>930</v>
      </c>
      <c r="D233" s="1477"/>
      <c r="E233" s="1477"/>
      <c r="F233" s="1477"/>
      <c r="G233" s="1477"/>
      <c r="H233" s="1478"/>
      <c r="I233" s="913">
        <f t="shared" si="12"/>
        <v>3.0249999999999999E-2</v>
      </c>
      <c r="J233" s="766">
        <f>J227*I233</f>
        <v>0</v>
      </c>
      <c r="K233" s="900"/>
      <c r="L233" s="900"/>
    </row>
    <row r="234" spans="2:12" ht="30.75" hidden="1" customHeight="1" outlineLevel="1">
      <c r="B234" s="1583" t="s">
        <v>393</v>
      </c>
      <c r="C234" s="1477"/>
      <c r="D234" s="1477"/>
      <c r="E234" s="1477"/>
      <c r="F234" s="1477"/>
      <c r="G234" s="1477"/>
      <c r="H234" s="1477"/>
      <c r="I234" s="1478"/>
      <c r="J234" s="775">
        <f>SUM(J232:J233)</f>
        <v>0</v>
      </c>
      <c r="K234" s="900"/>
      <c r="L234" s="900"/>
    </row>
    <row r="235" spans="2:12" ht="30.75" hidden="1" customHeight="1" outlineLevel="1">
      <c r="B235" s="908"/>
      <c r="C235" s="908"/>
      <c r="D235" s="908"/>
      <c r="E235" s="908"/>
      <c r="F235" s="908"/>
      <c r="G235" s="908"/>
      <c r="H235" s="908"/>
      <c r="I235" s="908"/>
      <c r="J235" s="908"/>
      <c r="K235" s="900"/>
      <c r="L235" s="900"/>
    </row>
    <row r="236" spans="2:12" ht="11.25" hidden="1" customHeight="1" outlineLevel="1">
      <c r="B236" s="791" t="s">
        <v>396</v>
      </c>
      <c r="C236" s="1664" t="s">
        <v>839</v>
      </c>
      <c r="D236" s="1477"/>
      <c r="E236" s="1477"/>
      <c r="F236" s="1477"/>
      <c r="G236" s="1477"/>
      <c r="H236" s="1478"/>
      <c r="I236" s="792" t="s">
        <v>354</v>
      </c>
      <c r="J236" s="793" t="s">
        <v>398</v>
      </c>
      <c r="K236" s="900"/>
      <c r="L236" s="900"/>
    </row>
    <row r="237" spans="2:12" ht="30.75" hidden="1" customHeight="1" outlineLevel="1">
      <c r="B237" s="794" t="s">
        <v>312</v>
      </c>
      <c r="C237" s="1577" t="s">
        <v>399</v>
      </c>
      <c r="D237" s="1477"/>
      <c r="E237" s="1477"/>
      <c r="F237" s="1477"/>
      <c r="G237" s="1477"/>
      <c r="H237" s="1478"/>
      <c r="I237" s="795">
        <f t="shared" ref="I237:I238" si="13">I78</f>
        <v>0.2</v>
      </c>
      <c r="J237" s="796">
        <f>ROUND((J227+J234)*I237,2)</f>
        <v>0</v>
      </c>
      <c r="K237" s="900"/>
      <c r="L237" s="900"/>
    </row>
    <row r="238" spans="2:12" ht="30.75" hidden="1" customHeight="1" outlineLevel="1">
      <c r="B238" s="794" t="s">
        <v>314</v>
      </c>
      <c r="C238" s="1577" t="s">
        <v>400</v>
      </c>
      <c r="D238" s="1477"/>
      <c r="E238" s="1477"/>
      <c r="F238" s="1477"/>
      <c r="G238" s="1477"/>
      <c r="H238" s="1478"/>
      <c r="I238" s="795">
        <f t="shared" si="13"/>
        <v>2.5000000000000001E-2</v>
      </c>
      <c r="J238" s="796">
        <f>ROUND((J227+J234)*I238,2)</f>
        <v>0</v>
      </c>
      <c r="K238" s="900"/>
      <c r="L238" s="900"/>
    </row>
    <row r="239" spans="2:12" ht="30.75" hidden="1" customHeight="1" outlineLevel="1">
      <c r="B239" s="794" t="s">
        <v>316</v>
      </c>
      <c r="C239" s="1577" t="s">
        <v>931</v>
      </c>
      <c r="D239" s="1478"/>
      <c r="E239" s="735" t="s">
        <v>402</v>
      </c>
      <c r="F239" s="797">
        <f>F80</f>
        <v>0</v>
      </c>
      <c r="G239" s="735" t="s">
        <v>403</v>
      </c>
      <c r="H239" s="798">
        <f t="shared" ref="H239:I239" si="14">H80</f>
        <v>1</v>
      </c>
      <c r="I239" s="795">
        <f t="shared" si="14"/>
        <v>0</v>
      </c>
      <c r="J239" s="796">
        <f>ROUND((J227+J234)*I239,2)</f>
        <v>0</v>
      </c>
      <c r="K239" s="900"/>
      <c r="L239" s="900"/>
    </row>
    <row r="240" spans="2:12" ht="30.75" hidden="1" customHeight="1" outlineLevel="1">
      <c r="B240" s="794" t="s">
        <v>318</v>
      </c>
      <c r="C240" s="1577" t="s">
        <v>404</v>
      </c>
      <c r="D240" s="1477"/>
      <c r="E240" s="1477"/>
      <c r="F240" s="1477"/>
      <c r="G240" s="1477"/>
      <c r="H240" s="1478"/>
      <c r="I240" s="795">
        <f t="shared" ref="I240:I244" si="15">I81</f>
        <v>1.4999999999999999E-2</v>
      </c>
      <c r="J240" s="796">
        <f>ROUND((J227+J234)*I240,2)</f>
        <v>0</v>
      </c>
      <c r="K240" s="900"/>
      <c r="L240" s="900"/>
    </row>
    <row r="241" spans="2:12" ht="15.75" hidden="1" customHeight="1" outlineLevel="1">
      <c r="B241" s="794" t="s">
        <v>360</v>
      </c>
      <c r="C241" s="1577" t="s">
        <v>405</v>
      </c>
      <c r="D241" s="1477"/>
      <c r="E241" s="1477"/>
      <c r="F241" s="1477"/>
      <c r="G241" s="1477"/>
      <c r="H241" s="1478"/>
      <c r="I241" s="795">
        <f t="shared" si="15"/>
        <v>0.01</v>
      </c>
      <c r="J241" s="796">
        <f>ROUND((J227+J234)*I241,2)</f>
        <v>0</v>
      </c>
      <c r="K241" s="900"/>
      <c r="L241" s="900"/>
    </row>
    <row r="242" spans="2:12" ht="15.75" hidden="1" customHeight="1" outlineLevel="1">
      <c r="B242" s="794" t="s">
        <v>364</v>
      </c>
      <c r="C242" s="1577" t="s">
        <v>406</v>
      </c>
      <c r="D242" s="1477"/>
      <c r="E242" s="1477"/>
      <c r="F242" s="1477"/>
      <c r="G242" s="1477"/>
      <c r="H242" s="1478"/>
      <c r="I242" s="795">
        <f t="shared" si="15"/>
        <v>6.0000000000000001E-3</v>
      </c>
      <c r="J242" s="796">
        <f>ROUND((J227+J234)*I242,2)</f>
        <v>0</v>
      </c>
      <c r="K242" s="900"/>
      <c r="L242" s="900"/>
    </row>
    <row r="243" spans="2:12" ht="15.75" hidden="1" customHeight="1" outlineLevel="1">
      <c r="B243" s="794" t="s">
        <v>366</v>
      </c>
      <c r="C243" s="1577" t="s">
        <v>407</v>
      </c>
      <c r="D243" s="1477"/>
      <c r="E243" s="1477"/>
      <c r="F243" s="1477"/>
      <c r="G243" s="1477"/>
      <c r="H243" s="1478"/>
      <c r="I243" s="795">
        <f t="shared" si="15"/>
        <v>2E-3</v>
      </c>
      <c r="J243" s="796">
        <f>ROUND((J227+J234)*I243,2)</f>
        <v>0</v>
      </c>
      <c r="K243" s="900"/>
      <c r="L243" s="900"/>
    </row>
    <row r="244" spans="2:12" ht="15.75" hidden="1" customHeight="1" outlineLevel="1">
      <c r="B244" s="794" t="s">
        <v>368</v>
      </c>
      <c r="C244" s="1577" t="s">
        <v>408</v>
      </c>
      <c r="D244" s="1477"/>
      <c r="E244" s="1477"/>
      <c r="F244" s="1477"/>
      <c r="G244" s="1477"/>
      <c r="H244" s="1478"/>
      <c r="I244" s="795">
        <f t="shared" si="15"/>
        <v>0.08</v>
      </c>
      <c r="J244" s="796">
        <f>ROUND((J227+J234)*I244,2)</f>
        <v>0</v>
      </c>
      <c r="K244" s="900"/>
      <c r="L244" s="900"/>
    </row>
    <row r="245" spans="2:12" ht="15.75" hidden="1" customHeight="1" outlineLevel="1">
      <c r="B245" s="1585" t="s">
        <v>393</v>
      </c>
      <c r="C245" s="1477"/>
      <c r="D245" s="1477"/>
      <c r="E245" s="1477"/>
      <c r="F245" s="1477"/>
      <c r="G245" s="1477"/>
      <c r="H245" s="1478"/>
      <c r="I245" s="800">
        <f t="shared" ref="I245:J245" si="16">SUM(I237:I244)</f>
        <v>0.33800000000000002</v>
      </c>
      <c r="J245" s="775">
        <f t="shared" si="16"/>
        <v>0</v>
      </c>
      <c r="K245" s="900"/>
      <c r="L245" s="900"/>
    </row>
    <row r="246" spans="2:12" ht="15.75" hidden="1" customHeight="1" outlineLevel="1">
      <c r="B246" s="908"/>
      <c r="C246" s="908"/>
      <c r="D246" s="908"/>
      <c r="E246" s="908"/>
      <c r="F246" s="908"/>
      <c r="G246" s="908"/>
      <c r="H246" s="908"/>
      <c r="I246" s="908"/>
      <c r="J246" s="908"/>
      <c r="K246" s="900"/>
      <c r="L246" s="900"/>
    </row>
    <row r="247" spans="2:12" ht="15.75" hidden="1" customHeight="1" outlineLevel="1">
      <c r="B247" s="1579" t="s">
        <v>663</v>
      </c>
      <c r="C247" s="1477"/>
      <c r="D247" s="1477"/>
      <c r="E247" s="1477"/>
      <c r="F247" s="1477"/>
      <c r="G247" s="1477"/>
      <c r="H247" s="1477"/>
      <c r="I247" s="1477"/>
      <c r="J247" s="1478"/>
      <c r="K247" s="900"/>
      <c r="L247" s="900"/>
    </row>
    <row r="248" spans="2:12" ht="15.75" hidden="1" customHeight="1" outlineLevel="1">
      <c r="B248" s="914">
        <v>3</v>
      </c>
      <c r="C248" s="1586" t="s">
        <v>435</v>
      </c>
      <c r="D248" s="1477"/>
      <c r="E248" s="1477"/>
      <c r="F248" s="1477"/>
      <c r="G248" s="1477"/>
      <c r="H248" s="1477"/>
      <c r="I248" s="1478"/>
      <c r="J248" s="914" t="s">
        <v>390</v>
      </c>
      <c r="K248" s="900"/>
      <c r="L248" s="900"/>
    </row>
    <row r="249" spans="2:12" ht="22.5" hidden="1" customHeight="1" outlineLevel="1">
      <c r="B249" s="915" t="s">
        <v>312</v>
      </c>
      <c r="C249" s="1587" t="s">
        <v>536</v>
      </c>
      <c r="D249" s="1477"/>
      <c r="E249" s="1477"/>
      <c r="F249" s="1477"/>
      <c r="G249" s="1477"/>
      <c r="H249" s="1477"/>
      <c r="I249" s="1478"/>
      <c r="J249" s="796">
        <f>ROUND((J227/12)+(J234/12),0)*1*0.05</f>
        <v>0</v>
      </c>
      <c r="K249" s="900"/>
      <c r="L249" s="900"/>
    </row>
    <row r="250" spans="2:12" ht="22.5" hidden="1" customHeight="1" outlineLevel="1">
      <c r="B250" s="915" t="s">
        <v>314</v>
      </c>
      <c r="C250" s="1587" t="s">
        <v>437</v>
      </c>
      <c r="D250" s="1477"/>
      <c r="E250" s="1477"/>
      <c r="F250" s="1477"/>
      <c r="G250" s="1477"/>
      <c r="H250" s="1477"/>
      <c r="I250" s="1478"/>
      <c r="J250" s="796">
        <f>(J249*I244)</f>
        <v>0</v>
      </c>
      <c r="K250" s="900"/>
      <c r="L250" s="900"/>
    </row>
    <row r="251" spans="2:12" ht="22.5" hidden="1" customHeight="1" outlineLevel="1">
      <c r="B251" s="915" t="s">
        <v>316</v>
      </c>
      <c r="C251" s="1588" t="s">
        <v>932</v>
      </c>
      <c r="D251" s="1477"/>
      <c r="E251" s="1477"/>
      <c r="F251" s="1477"/>
      <c r="G251" s="1477"/>
      <c r="H251" s="1477"/>
      <c r="I251" s="916" t="s">
        <v>128</v>
      </c>
      <c r="J251" s="796">
        <f>ROUND(((7/30)/$I$11)*$J$227*1,2)</f>
        <v>0</v>
      </c>
      <c r="K251" s="900"/>
      <c r="L251" s="900"/>
    </row>
    <row r="252" spans="2:12" ht="22.5" hidden="1" customHeight="1" outlineLevel="1">
      <c r="B252" s="915" t="s">
        <v>318</v>
      </c>
      <c r="C252" s="1587" t="s">
        <v>439</v>
      </c>
      <c r="D252" s="1477"/>
      <c r="E252" s="1477"/>
      <c r="F252" s="1477"/>
      <c r="G252" s="1477"/>
      <c r="H252" s="1477"/>
      <c r="I252" s="1478"/>
      <c r="J252" s="796">
        <f>I245*J251</f>
        <v>0</v>
      </c>
      <c r="K252" s="900"/>
      <c r="L252" s="900"/>
    </row>
    <row r="253" spans="2:12" ht="41.25" hidden="1" customHeight="1" outlineLevel="1">
      <c r="B253" s="915" t="s">
        <v>360</v>
      </c>
      <c r="C253" s="1587" t="s">
        <v>538</v>
      </c>
      <c r="D253" s="1477"/>
      <c r="E253" s="1477"/>
      <c r="F253" s="1477"/>
      <c r="G253" s="1477"/>
      <c r="H253" s="1478"/>
      <c r="I253" s="917">
        <f>I123</f>
        <v>0.04</v>
      </c>
      <c r="J253" s="796">
        <f>I253*J227</f>
        <v>0</v>
      </c>
      <c r="K253" s="900"/>
      <c r="L253" s="900"/>
    </row>
    <row r="254" spans="2:12" ht="15.75" hidden="1" customHeight="1" outlineLevel="1">
      <c r="B254" s="1583" t="s">
        <v>441</v>
      </c>
      <c r="C254" s="1477"/>
      <c r="D254" s="1477"/>
      <c r="E254" s="1477"/>
      <c r="F254" s="1477"/>
      <c r="G254" s="1477"/>
      <c r="H254" s="1477"/>
      <c r="I254" s="1478"/>
      <c r="J254" s="775">
        <f>SUM(J249:J253)</f>
        <v>0</v>
      </c>
      <c r="K254" s="900"/>
      <c r="L254" s="900"/>
    </row>
    <row r="255" spans="2:12" ht="15.75" hidden="1" customHeight="1" outlineLevel="1">
      <c r="B255" s="908"/>
      <c r="C255" s="908"/>
      <c r="D255" s="908"/>
      <c r="E255" s="908"/>
      <c r="F255" s="908"/>
      <c r="G255" s="908"/>
      <c r="H255" s="908"/>
      <c r="I255" s="908"/>
      <c r="J255" s="908"/>
      <c r="K255" s="900"/>
      <c r="L255" s="900"/>
    </row>
    <row r="256" spans="2:12" ht="27" hidden="1" customHeight="1" outlineLevel="1">
      <c r="B256" s="1553" t="s">
        <v>539</v>
      </c>
      <c r="C256" s="1477"/>
      <c r="D256" s="1477"/>
      <c r="E256" s="1477"/>
      <c r="F256" s="1477"/>
      <c r="G256" s="1477"/>
      <c r="H256" s="1477"/>
      <c r="I256" s="1477"/>
      <c r="J256" s="1478"/>
      <c r="K256" s="900"/>
      <c r="L256" s="900"/>
    </row>
    <row r="257" spans="2:12" ht="30" hidden="1" customHeight="1" outlineLevel="1">
      <c r="B257" s="832" t="s">
        <v>540</v>
      </c>
      <c r="C257" s="833">
        <f>J227</f>
        <v>0</v>
      </c>
      <c r="D257" s="918" t="s">
        <v>446</v>
      </c>
      <c r="E257" s="832" t="s">
        <v>541</v>
      </c>
      <c r="F257" s="833">
        <f>J234+J245</f>
        <v>0</v>
      </c>
      <c r="G257" s="918" t="s">
        <v>446</v>
      </c>
      <c r="H257" s="832" t="s">
        <v>448</v>
      </c>
      <c r="I257" s="833">
        <f>J254</f>
        <v>0</v>
      </c>
      <c r="J257" s="835">
        <f>C257+F257+I257</f>
        <v>0</v>
      </c>
      <c r="K257" s="900"/>
      <c r="L257" s="900"/>
    </row>
    <row r="258" spans="2:12" ht="15.75" hidden="1" customHeight="1" outlineLevel="1">
      <c r="B258" s="908"/>
      <c r="C258" s="908"/>
      <c r="D258" s="908"/>
      <c r="E258" s="908"/>
      <c r="F258" s="908"/>
      <c r="G258" s="908"/>
      <c r="H258" s="908"/>
      <c r="I258" s="908"/>
      <c r="J258" s="908"/>
      <c r="K258" s="900"/>
      <c r="L258" s="900"/>
    </row>
    <row r="259" spans="2:12" ht="15.75" hidden="1" customHeight="1" outlineLevel="1">
      <c r="B259" s="1554" t="s">
        <v>449</v>
      </c>
      <c r="C259" s="1477"/>
      <c r="D259" s="1477"/>
      <c r="E259" s="1477"/>
      <c r="F259" s="1477"/>
      <c r="G259" s="1477"/>
      <c r="H259" s="1477"/>
      <c r="I259" s="1477"/>
      <c r="J259" s="1478"/>
      <c r="K259" s="900"/>
      <c r="L259" s="900"/>
    </row>
    <row r="260" spans="2:12" ht="15.75" hidden="1" customHeight="1" outlineLevel="1">
      <c r="B260" s="805" t="s">
        <v>450</v>
      </c>
      <c r="C260" s="1555" t="s">
        <v>842</v>
      </c>
      <c r="D260" s="1477"/>
      <c r="E260" s="1477"/>
      <c r="F260" s="1477"/>
      <c r="G260" s="1477"/>
      <c r="H260" s="1477"/>
      <c r="I260" s="1478"/>
      <c r="J260" s="839" t="s">
        <v>390</v>
      </c>
      <c r="K260" s="900"/>
      <c r="L260" s="900"/>
    </row>
    <row r="261" spans="2:12" ht="29.25" hidden="1" customHeight="1" outlineLevel="1">
      <c r="B261" s="919" t="s">
        <v>312</v>
      </c>
      <c r="C261" s="1556" t="s">
        <v>933</v>
      </c>
      <c r="D261" s="1477"/>
      <c r="E261" s="1477"/>
      <c r="F261" s="1477"/>
      <c r="G261" s="1477"/>
      <c r="H261" s="840">
        <f t="shared" ref="H261:I261" si="17">H133</f>
        <v>9.0749999999999997E-2</v>
      </c>
      <c r="I261" s="920">
        <f t="shared" si="17"/>
        <v>0.33800000000000002</v>
      </c>
      <c r="J261" s="921">
        <f>IF('1-ABA-DE-CARREGAMENTO'!G81="S",(ROUND(H261*J227,2)*(1+I261)),IF('1-ABA-DE-CARREGAMENTO'!G81="N",0,"INFORME S ou N"))</f>
        <v>0</v>
      </c>
      <c r="K261" s="900"/>
      <c r="L261" s="900"/>
    </row>
    <row r="262" spans="2:12" ht="29.25" hidden="1" customHeight="1" outlineLevel="1">
      <c r="B262" s="919" t="s">
        <v>314</v>
      </c>
      <c r="C262" s="1556" t="s">
        <v>934</v>
      </c>
      <c r="D262" s="1477"/>
      <c r="E262" s="1477"/>
      <c r="F262" s="1477"/>
      <c r="G262" s="1477"/>
      <c r="H262" s="1477"/>
      <c r="I262" s="1478"/>
      <c r="J262" s="922">
        <f>ROUND((1/30)/12*(J257),2)</f>
        <v>0</v>
      </c>
      <c r="K262" s="900"/>
      <c r="L262" s="900"/>
    </row>
    <row r="263" spans="2:12" ht="29.25" hidden="1" customHeight="1" outlineLevel="1">
      <c r="B263" s="919" t="s">
        <v>316</v>
      </c>
      <c r="C263" s="1556" t="s">
        <v>935</v>
      </c>
      <c r="D263" s="1477"/>
      <c r="E263" s="1477"/>
      <c r="F263" s="1477"/>
      <c r="G263" s="1477"/>
      <c r="H263" s="1477"/>
      <c r="I263" s="1478"/>
      <c r="J263" s="923">
        <f>ROUND((5/30)/12*0.015*(J257),2)</f>
        <v>0</v>
      </c>
      <c r="K263" s="900"/>
      <c r="L263" s="900"/>
    </row>
    <row r="264" spans="2:12" ht="29.25" hidden="1" customHeight="1" outlineLevel="1">
      <c r="B264" s="919" t="s">
        <v>318</v>
      </c>
      <c r="C264" s="1556" t="s">
        <v>936</v>
      </c>
      <c r="D264" s="1477"/>
      <c r="E264" s="1477"/>
      <c r="F264" s="1477"/>
      <c r="G264" s="1477"/>
      <c r="H264" s="1477"/>
      <c r="I264" s="1478"/>
      <c r="J264" s="923">
        <f>ROUND(((15/30)/12)*0.0078*(J257),2)</f>
        <v>0</v>
      </c>
      <c r="K264" s="900"/>
      <c r="L264" s="900"/>
    </row>
    <row r="265" spans="2:12" ht="29.25" hidden="1" customHeight="1" outlineLevel="1">
      <c r="B265" s="924" t="s">
        <v>360</v>
      </c>
      <c r="C265" s="1557" t="s">
        <v>937</v>
      </c>
      <c r="D265" s="1477"/>
      <c r="E265" s="1477"/>
      <c r="F265" s="1477"/>
      <c r="G265" s="1477"/>
      <c r="H265" s="1477"/>
      <c r="I265" s="1478"/>
      <c r="J265" s="925">
        <f>ROUND((((C257+C257/3)+(I245)*(C257+C257/3))*(4/12))/12,0)*0.02+((J254*4)/12)*0.02</f>
        <v>0</v>
      </c>
      <c r="K265" s="900"/>
      <c r="L265" s="900"/>
    </row>
    <row r="266" spans="2:12" ht="58.5" hidden="1" customHeight="1" outlineLevel="1">
      <c r="B266" s="919" t="s">
        <v>364</v>
      </c>
      <c r="C266" s="1556" t="s">
        <v>938</v>
      </c>
      <c r="D266" s="1477"/>
      <c r="E266" s="1477"/>
      <c r="F266" s="1477"/>
      <c r="G266" s="1477"/>
      <c r="H266" s="1477"/>
      <c r="I266" s="1478"/>
      <c r="J266" s="926">
        <f>ROUND(((3/30)/12)*(J257),2)</f>
        <v>0</v>
      </c>
      <c r="K266" s="900"/>
      <c r="L266" s="900"/>
    </row>
    <row r="267" spans="2:12" ht="15.75" hidden="1" customHeight="1" outlineLevel="1">
      <c r="B267" s="1558" t="s">
        <v>393</v>
      </c>
      <c r="C267" s="1477"/>
      <c r="D267" s="1477"/>
      <c r="E267" s="1477"/>
      <c r="F267" s="1477"/>
      <c r="G267" s="1477"/>
      <c r="H267" s="1477"/>
      <c r="I267" s="1478"/>
      <c r="J267" s="927">
        <f>SUM(J261:J266)</f>
        <v>0</v>
      </c>
      <c r="K267" s="900"/>
      <c r="L267" s="900"/>
    </row>
    <row r="268" spans="2:12" ht="15.75" hidden="1" customHeight="1" outlineLevel="1">
      <c r="B268" s="908"/>
      <c r="C268" s="908"/>
      <c r="D268" s="908"/>
      <c r="E268" s="908"/>
      <c r="F268" s="908"/>
      <c r="G268" s="908"/>
      <c r="H268" s="908"/>
      <c r="I268" s="908"/>
      <c r="J268" s="908"/>
      <c r="K268" s="900"/>
      <c r="L268" s="900"/>
    </row>
    <row r="269" spans="2:12" ht="15.75" hidden="1" customHeight="1" outlineLevel="1">
      <c r="B269" s="1559" t="s">
        <v>471</v>
      </c>
      <c r="C269" s="1477"/>
      <c r="D269" s="1477"/>
      <c r="E269" s="1477"/>
      <c r="F269" s="1477"/>
      <c r="G269" s="1477"/>
      <c r="H269" s="1477"/>
      <c r="I269" s="1477"/>
      <c r="J269" s="1478"/>
      <c r="K269" s="900"/>
      <c r="L269" s="900"/>
    </row>
    <row r="270" spans="2:12" ht="15.75" hidden="1" customHeight="1" outlineLevel="1">
      <c r="B270" s="805">
        <v>6</v>
      </c>
      <c r="C270" s="1555" t="s">
        <v>549</v>
      </c>
      <c r="D270" s="1477"/>
      <c r="E270" s="1477"/>
      <c r="F270" s="1477"/>
      <c r="G270" s="1477"/>
      <c r="H270" s="1478"/>
      <c r="I270" s="863" t="s">
        <v>354</v>
      </c>
      <c r="J270" s="864" t="s">
        <v>398</v>
      </c>
      <c r="K270" s="900"/>
      <c r="L270" s="900"/>
    </row>
    <row r="271" spans="2:12" ht="15.75" hidden="1" customHeight="1" outlineLevel="1">
      <c r="B271" s="1560" t="s">
        <v>473</v>
      </c>
      <c r="C271" s="1477"/>
      <c r="D271" s="1477"/>
      <c r="E271" s="1477"/>
      <c r="F271" s="1477"/>
      <c r="G271" s="1477"/>
      <c r="H271" s="1478"/>
      <c r="I271" s="434" t="str">
        <f t="shared" ref="I271:I284" si="18">I163</f>
        <v>-</v>
      </c>
      <c r="J271" s="866">
        <f>J227+J234+J245+J254+J267</f>
        <v>0</v>
      </c>
      <c r="K271" s="900"/>
      <c r="L271" s="900"/>
    </row>
    <row r="272" spans="2:12" ht="15.75" hidden="1" customHeight="1" outlineLevel="1">
      <c r="B272" s="743" t="s">
        <v>312</v>
      </c>
      <c r="C272" s="1561" t="s">
        <v>474</v>
      </c>
      <c r="D272" s="1477"/>
      <c r="E272" s="1477"/>
      <c r="F272" s="1477"/>
      <c r="G272" s="1477"/>
      <c r="H272" s="1478"/>
      <c r="I272" s="868">
        <f t="shared" si="18"/>
        <v>0.06</v>
      </c>
      <c r="J272" s="796">
        <f>ROUND(I272*J271,2)</f>
        <v>0</v>
      </c>
      <c r="K272" s="900"/>
      <c r="L272" s="900"/>
    </row>
    <row r="273" spans="2:12" ht="15.75" hidden="1" customHeight="1" outlineLevel="1">
      <c r="B273" s="1560" t="s">
        <v>475</v>
      </c>
      <c r="C273" s="1477"/>
      <c r="D273" s="1477"/>
      <c r="E273" s="1477"/>
      <c r="F273" s="1477"/>
      <c r="G273" s="1477"/>
      <c r="H273" s="1478"/>
      <c r="I273" s="868" t="str">
        <f t="shared" si="18"/>
        <v>-</v>
      </c>
      <c r="J273" s="866">
        <f>J227+J234+J245+J254+J267+J272</f>
        <v>0</v>
      </c>
      <c r="K273" s="900"/>
      <c r="L273" s="900"/>
    </row>
    <row r="274" spans="2:12" ht="15.75" hidden="1" customHeight="1" outlineLevel="1">
      <c r="B274" s="743" t="s">
        <v>314</v>
      </c>
      <c r="C274" s="1561" t="s">
        <v>251</v>
      </c>
      <c r="D274" s="1477"/>
      <c r="E274" s="1477"/>
      <c r="F274" s="1477"/>
      <c r="G274" s="1477"/>
      <c r="H274" s="1478"/>
      <c r="I274" s="868">
        <f t="shared" si="18"/>
        <v>0.06</v>
      </c>
      <c r="J274" s="796">
        <f>ROUND(I274*J273,2)</f>
        <v>0</v>
      </c>
      <c r="K274" s="900"/>
      <c r="L274" s="900"/>
    </row>
    <row r="275" spans="2:12" ht="15.75" hidden="1" customHeight="1" outlineLevel="1">
      <c r="B275" s="1560" t="s">
        <v>476</v>
      </c>
      <c r="C275" s="1477"/>
      <c r="D275" s="1477"/>
      <c r="E275" s="1477"/>
      <c r="F275" s="1477"/>
      <c r="G275" s="1477"/>
      <c r="H275" s="1478"/>
      <c r="I275" s="868" t="str">
        <f t="shared" si="18"/>
        <v>-</v>
      </c>
      <c r="J275" s="866">
        <f>SUM(J271+J272+J274)</f>
        <v>0</v>
      </c>
      <c r="K275" s="900"/>
      <c r="L275" s="900"/>
    </row>
    <row r="276" spans="2:12" ht="15.75" hidden="1" customHeight="1" outlineLevel="1">
      <c r="B276" s="870" t="s">
        <v>316</v>
      </c>
      <c r="C276" s="1559" t="s">
        <v>477</v>
      </c>
      <c r="D276" s="1477"/>
      <c r="E276" s="1477"/>
      <c r="F276" s="1477"/>
      <c r="G276" s="1477"/>
      <c r="H276" s="1478"/>
      <c r="I276" s="868" t="str">
        <f t="shared" si="18"/>
        <v>-</v>
      </c>
      <c r="J276" s="769" t="s">
        <v>325</v>
      </c>
      <c r="K276" s="900"/>
      <c r="L276" s="900"/>
    </row>
    <row r="277" spans="2:12" ht="15.75" hidden="1" customHeight="1" outlineLevel="1">
      <c r="B277" s="743"/>
      <c r="C277" s="1589" t="s">
        <v>478</v>
      </c>
      <c r="D277" s="1477"/>
      <c r="E277" s="1477"/>
      <c r="F277" s="1477"/>
      <c r="G277" s="1477"/>
      <c r="H277" s="1478"/>
      <c r="I277" s="868" t="str">
        <f t="shared" si="18"/>
        <v>-</v>
      </c>
      <c r="J277" s="769" t="s">
        <v>325</v>
      </c>
      <c r="K277" s="900"/>
      <c r="L277" s="900"/>
    </row>
    <row r="278" spans="2:12" ht="15.75" hidden="1" customHeight="1" outlineLevel="1">
      <c r="B278" s="743"/>
      <c r="C278" s="1590" t="s">
        <v>939</v>
      </c>
      <c r="D278" s="1477"/>
      <c r="E278" s="1477"/>
      <c r="F278" s="1477"/>
      <c r="G278" s="1477"/>
      <c r="H278" s="1478"/>
      <c r="I278" s="868">
        <f t="shared" si="18"/>
        <v>1.6500000000000001E-2</v>
      </c>
      <c r="J278" s="758">
        <f t="shared" ref="J278:J279" si="19">ROUND(($J$275/(1-$I$179))*I278,2)</f>
        <v>0</v>
      </c>
      <c r="K278" s="900"/>
      <c r="L278" s="900"/>
    </row>
    <row r="279" spans="2:12" ht="15.75" hidden="1" customHeight="1" outlineLevel="1">
      <c r="B279" s="743"/>
      <c r="C279" s="1590" t="s">
        <v>940</v>
      </c>
      <c r="D279" s="1477"/>
      <c r="E279" s="1477"/>
      <c r="F279" s="1477"/>
      <c r="G279" s="1477"/>
      <c r="H279" s="1478"/>
      <c r="I279" s="868">
        <f t="shared" si="18"/>
        <v>7.5999999999999998E-2</v>
      </c>
      <c r="J279" s="758">
        <f t="shared" si="19"/>
        <v>0</v>
      </c>
      <c r="K279" s="900"/>
      <c r="L279" s="900"/>
    </row>
    <row r="280" spans="2:12" ht="15.75" hidden="1" customHeight="1" outlineLevel="1">
      <c r="B280" s="743"/>
      <c r="C280" s="1577" t="s">
        <v>941</v>
      </c>
      <c r="D280" s="1477"/>
      <c r="E280" s="1477"/>
      <c r="F280" s="1477"/>
      <c r="G280" s="1477"/>
      <c r="H280" s="1478"/>
      <c r="I280" s="868" t="str">
        <f t="shared" si="18"/>
        <v>-</v>
      </c>
      <c r="J280" s="769" t="s">
        <v>325</v>
      </c>
      <c r="K280" s="900"/>
      <c r="L280" s="900"/>
    </row>
    <row r="281" spans="2:12" ht="15.75" hidden="1" customHeight="1" outlineLevel="1">
      <c r="B281" s="743"/>
      <c r="C281" s="1577" t="s">
        <v>942</v>
      </c>
      <c r="D281" s="1477"/>
      <c r="E281" s="1477"/>
      <c r="F281" s="1477"/>
      <c r="G281" s="1477"/>
      <c r="H281" s="1478"/>
      <c r="I281" s="868" t="str">
        <f t="shared" si="18"/>
        <v>-</v>
      </c>
      <c r="J281" s="769" t="s">
        <v>325</v>
      </c>
      <c r="K281" s="900"/>
      <c r="L281" s="900"/>
    </row>
    <row r="282" spans="2:12" ht="15.75" hidden="1" customHeight="1" outlineLevel="1">
      <c r="B282" s="743"/>
      <c r="C282" s="1577" t="s">
        <v>483</v>
      </c>
      <c r="D282" s="1477"/>
      <c r="E282" s="1477"/>
      <c r="F282" s="1477"/>
      <c r="G282" s="1477"/>
      <c r="H282" s="1477"/>
      <c r="I282" s="868" t="str">
        <f t="shared" si="18"/>
        <v>-</v>
      </c>
      <c r="J282" s="769" t="s">
        <v>325</v>
      </c>
      <c r="K282" s="900"/>
      <c r="L282" s="900"/>
    </row>
    <row r="283" spans="2:12" ht="15.75" hidden="1" customHeight="1" outlineLevel="1">
      <c r="B283" s="743"/>
      <c r="C283" s="1577" t="s">
        <v>484</v>
      </c>
      <c r="D283" s="1477"/>
      <c r="E283" s="1477"/>
      <c r="F283" s="1477"/>
      <c r="G283" s="1477"/>
      <c r="H283" s="1477"/>
      <c r="I283" s="868" t="str">
        <f t="shared" si="18"/>
        <v>-</v>
      </c>
      <c r="J283" s="769" t="s">
        <v>325</v>
      </c>
      <c r="K283" s="900"/>
      <c r="L283" s="900"/>
    </row>
    <row r="284" spans="2:12" ht="15.75" hidden="1" customHeight="1" outlineLevel="1">
      <c r="B284" s="743"/>
      <c r="C284" s="1577" t="s">
        <v>485</v>
      </c>
      <c r="D284" s="1477"/>
      <c r="E284" s="1477"/>
      <c r="F284" s="1477"/>
      <c r="G284" s="1477"/>
      <c r="H284" s="1478"/>
      <c r="I284" s="868">
        <f t="shared" si="18"/>
        <v>0.02</v>
      </c>
      <c r="J284" s="758">
        <f>ROUND(($J$275/(1-$I$179))*I284,2)</f>
        <v>0</v>
      </c>
      <c r="K284" s="900"/>
      <c r="L284" s="900"/>
    </row>
    <row r="285" spans="2:12" ht="15.75" hidden="1" customHeight="1" outlineLevel="1">
      <c r="B285" s="1585" t="s">
        <v>441</v>
      </c>
      <c r="C285" s="1477"/>
      <c r="D285" s="1477"/>
      <c r="E285" s="1477"/>
      <c r="F285" s="1477"/>
      <c r="G285" s="1477"/>
      <c r="H285" s="1477"/>
      <c r="I285" s="1478"/>
      <c r="J285" s="788">
        <f>SUM(J272+J274+J278+J279+J284)</f>
        <v>0</v>
      </c>
      <c r="K285" s="900"/>
      <c r="L285" s="900"/>
    </row>
    <row r="286" spans="2:12" ht="15.75" hidden="1" customHeight="1" outlineLevel="1">
      <c r="B286" s="908"/>
      <c r="C286" s="908"/>
      <c r="D286" s="908"/>
      <c r="E286" s="908"/>
      <c r="F286" s="908"/>
      <c r="G286" s="908"/>
      <c r="H286" s="908"/>
      <c r="I286" s="908"/>
      <c r="J286" s="908"/>
      <c r="K286" s="900"/>
      <c r="L286" s="900"/>
    </row>
    <row r="287" spans="2:12" ht="15.75" hidden="1" customHeight="1" outlineLevel="1">
      <c r="B287" s="1572" t="s">
        <v>554</v>
      </c>
      <c r="C287" s="1477"/>
      <c r="D287" s="1477"/>
      <c r="E287" s="1477"/>
      <c r="F287" s="1477"/>
      <c r="G287" s="1477"/>
      <c r="H287" s="1477"/>
      <c r="I287" s="1478"/>
      <c r="J287" s="863" t="s">
        <v>390</v>
      </c>
      <c r="K287" s="900"/>
      <c r="L287" s="900"/>
    </row>
    <row r="288" spans="2:12" ht="15.75" hidden="1" customHeight="1" outlineLevel="1">
      <c r="B288" s="880" t="s">
        <v>312</v>
      </c>
      <c r="C288" s="1599" t="s">
        <v>494</v>
      </c>
      <c r="D288" s="1477"/>
      <c r="E288" s="1477"/>
      <c r="F288" s="1477"/>
      <c r="G288" s="1477"/>
      <c r="H288" s="1477"/>
      <c r="I288" s="1477"/>
      <c r="J288" s="881">
        <f>J227</f>
        <v>0</v>
      </c>
      <c r="K288" s="900"/>
      <c r="L288" s="900"/>
    </row>
    <row r="289" spans="2:12" ht="15.75" hidden="1" customHeight="1" outlineLevel="1">
      <c r="B289" s="880" t="s">
        <v>314</v>
      </c>
      <c r="C289" s="1599" t="s">
        <v>495</v>
      </c>
      <c r="D289" s="1477"/>
      <c r="E289" s="1477"/>
      <c r="F289" s="1477"/>
      <c r="G289" s="1477"/>
      <c r="H289" s="1477"/>
      <c r="I289" s="1477"/>
      <c r="J289" s="881">
        <f>J234+J245</f>
        <v>0</v>
      </c>
      <c r="K289" s="900"/>
      <c r="L289" s="900"/>
    </row>
    <row r="290" spans="2:12" ht="15.75" hidden="1" customHeight="1" outlineLevel="1">
      <c r="B290" s="880" t="s">
        <v>316</v>
      </c>
      <c r="C290" s="1599" t="s">
        <v>496</v>
      </c>
      <c r="D290" s="1477"/>
      <c r="E290" s="1477"/>
      <c r="F290" s="1477"/>
      <c r="G290" s="1477"/>
      <c r="H290" s="1477"/>
      <c r="I290" s="1477"/>
      <c r="J290" s="881">
        <f>J254</f>
        <v>0</v>
      </c>
      <c r="K290" s="900"/>
      <c r="L290" s="900"/>
    </row>
    <row r="291" spans="2:12" ht="15.75" hidden="1" customHeight="1" outlineLevel="1">
      <c r="B291" s="880" t="s">
        <v>318</v>
      </c>
      <c r="C291" s="1599" t="s">
        <v>497</v>
      </c>
      <c r="D291" s="1477"/>
      <c r="E291" s="1477"/>
      <c r="F291" s="1477"/>
      <c r="G291" s="1477"/>
      <c r="H291" s="1477"/>
      <c r="I291" s="1477"/>
      <c r="J291" s="881">
        <f>J267</f>
        <v>0</v>
      </c>
      <c r="K291" s="900"/>
      <c r="L291" s="900"/>
    </row>
    <row r="292" spans="2:12" ht="15.75" hidden="1" customHeight="1" outlineLevel="1">
      <c r="B292" s="880" t="s">
        <v>360</v>
      </c>
      <c r="C292" s="1599" t="s">
        <v>498</v>
      </c>
      <c r="D292" s="1477"/>
      <c r="E292" s="1477"/>
      <c r="F292" s="1477"/>
      <c r="G292" s="1477"/>
      <c r="H292" s="1477"/>
      <c r="I292" s="1477"/>
      <c r="J292" s="881">
        <v>0</v>
      </c>
      <c r="K292" s="900"/>
      <c r="L292" s="900"/>
    </row>
    <row r="293" spans="2:12" ht="15.75" hidden="1" customHeight="1" outlineLevel="1">
      <c r="B293" s="1600" t="s">
        <v>499</v>
      </c>
      <c r="C293" s="1477"/>
      <c r="D293" s="1477"/>
      <c r="E293" s="1477"/>
      <c r="F293" s="1477"/>
      <c r="G293" s="1477"/>
      <c r="H293" s="1477"/>
      <c r="I293" s="1521"/>
      <c r="J293" s="857">
        <f>SUM(J288:J292)</f>
        <v>0</v>
      </c>
      <c r="K293" s="900"/>
      <c r="L293" s="900"/>
    </row>
    <row r="294" spans="2:12" ht="15.75" hidden="1" customHeight="1" outlineLevel="1">
      <c r="B294" s="882" t="s">
        <v>364</v>
      </c>
      <c r="C294" s="1599" t="s">
        <v>471</v>
      </c>
      <c r="D294" s="1477"/>
      <c r="E294" s="1477"/>
      <c r="F294" s="1477"/>
      <c r="G294" s="1477"/>
      <c r="H294" s="1477"/>
      <c r="I294" s="1477"/>
      <c r="J294" s="881">
        <f>J285</f>
        <v>0</v>
      </c>
      <c r="K294" s="900"/>
      <c r="L294" s="900"/>
    </row>
    <row r="295" spans="2:12" ht="15.75" hidden="1" customHeight="1" outlineLevel="1">
      <c r="B295" s="1601" t="s">
        <v>555</v>
      </c>
      <c r="C295" s="1477"/>
      <c r="D295" s="1477"/>
      <c r="E295" s="1477"/>
      <c r="F295" s="1477"/>
      <c r="G295" s="1477"/>
      <c r="H295" s="1477"/>
      <c r="I295" s="1521"/>
      <c r="J295" s="928">
        <f>J293+J294</f>
        <v>0</v>
      </c>
      <c r="K295" s="897" t="s">
        <v>556</v>
      </c>
      <c r="L295" s="897" t="str">
        <f>L203</f>
        <v>2394-25_PSICOPEGAGOGO_40h</v>
      </c>
    </row>
    <row r="296" spans="2:12" ht="15.75" hidden="1" customHeight="1" outlineLevel="1">
      <c r="B296" s="908"/>
      <c r="C296" s="908"/>
      <c r="D296" s="908"/>
      <c r="E296" s="908"/>
      <c r="F296" s="908"/>
      <c r="G296" s="908"/>
      <c r="H296" s="908"/>
      <c r="I296" s="908"/>
      <c r="J296" s="908"/>
      <c r="K296" s="900"/>
      <c r="L296" s="900"/>
    </row>
    <row r="297" spans="2:12" ht="34.5" hidden="1" customHeight="1" outlineLevel="1">
      <c r="B297" s="929" t="s">
        <v>557</v>
      </c>
      <c r="C297" s="906"/>
      <c r="D297" s="906"/>
      <c r="E297" s="906"/>
      <c r="F297" s="906"/>
      <c r="G297" s="1023" t="str">
        <f>G219</f>
        <v>2394-25_PSICOPEGAGOGO_40h</v>
      </c>
      <c r="H297" s="906"/>
      <c r="I297" s="906"/>
      <c r="J297" s="906"/>
      <c r="K297" s="900"/>
      <c r="L297" s="900"/>
    </row>
    <row r="298" spans="2:12" ht="15.75" hidden="1" customHeight="1" outlineLevel="1">
      <c r="B298" s="931"/>
      <c r="C298" s="931"/>
      <c r="D298" s="931"/>
      <c r="E298" s="931"/>
      <c r="F298" s="931"/>
      <c r="G298" s="931"/>
      <c r="H298" s="931"/>
      <c r="I298" s="931"/>
      <c r="J298" s="931"/>
      <c r="K298" s="900"/>
      <c r="L298" s="900"/>
    </row>
    <row r="299" spans="2:12" ht="15.75" hidden="1" customHeight="1" outlineLevel="1">
      <c r="B299" s="1602" t="s">
        <v>410</v>
      </c>
      <c r="C299" s="1477"/>
      <c r="D299" s="1477"/>
      <c r="E299" s="1477"/>
      <c r="F299" s="1477"/>
      <c r="G299" s="1477"/>
      <c r="H299" s="1477"/>
      <c r="I299" s="1477"/>
      <c r="J299" s="1478"/>
      <c r="K299" s="900"/>
      <c r="L299" s="900"/>
    </row>
    <row r="300" spans="2:12" ht="15.75" hidden="1" customHeight="1" outlineLevel="1">
      <c r="B300" s="805" t="s">
        <v>411</v>
      </c>
      <c r="C300" s="1603" t="s">
        <v>558</v>
      </c>
      <c r="D300" s="1477"/>
      <c r="E300" s="1477"/>
      <c r="F300" s="1477"/>
      <c r="G300" s="1477"/>
      <c r="H300" s="1477"/>
      <c r="I300" s="1478"/>
      <c r="J300" s="806" t="s">
        <v>390</v>
      </c>
      <c r="K300" s="900"/>
      <c r="L300" s="900"/>
    </row>
    <row r="301" spans="2:12" ht="37.5" hidden="1" customHeight="1" outlineLevel="1">
      <c r="B301" s="932" t="s">
        <v>559</v>
      </c>
      <c r="C301" s="932" t="s">
        <v>560</v>
      </c>
      <c r="D301" s="933" t="s">
        <v>561</v>
      </c>
      <c r="E301" s="932" t="s">
        <v>562</v>
      </c>
      <c r="F301" s="934" t="s">
        <v>563</v>
      </c>
      <c r="G301" s="932" t="s">
        <v>564</v>
      </c>
      <c r="H301" s="935" t="s">
        <v>565</v>
      </c>
      <c r="I301" s="936"/>
      <c r="J301" s="937"/>
      <c r="K301" s="900"/>
      <c r="L301" s="900"/>
    </row>
    <row r="302" spans="2:12" ht="64.5" hidden="1" customHeight="1" outlineLevel="1">
      <c r="B302" s="1604" t="s">
        <v>566</v>
      </c>
      <c r="C302" s="938" t="s">
        <v>567</v>
      </c>
      <c r="D302" s="939">
        <v>425</v>
      </c>
      <c r="E302" s="940" t="s">
        <v>568</v>
      </c>
      <c r="F302" s="941">
        <v>380</v>
      </c>
      <c r="G302" s="942" t="s">
        <v>569</v>
      </c>
      <c r="H302" s="943">
        <v>335</v>
      </c>
      <c r="I302" s="944"/>
      <c r="J302" s="945">
        <f>(D302*D303)+(F302*F303)+(H302*H303)</f>
        <v>0</v>
      </c>
      <c r="K302" s="900"/>
      <c r="L302" s="900"/>
    </row>
    <row r="303" spans="2:12" ht="37.5" hidden="1" customHeight="1" outlineLevel="1">
      <c r="B303" s="1605"/>
      <c r="C303" s="946" t="s">
        <v>570</v>
      </c>
      <c r="D303" s="947">
        <v>0</v>
      </c>
      <c r="E303" s="946" t="s">
        <v>571</v>
      </c>
      <c r="F303" s="947">
        <v>0</v>
      </c>
      <c r="G303" s="946" t="s">
        <v>572</v>
      </c>
      <c r="H303" s="948">
        <v>0</v>
      </c>
      <c r="I303" s="949"/>
      <c r="J303" s="950"/>
      <c r="K303" s="900"/>
      <c r="L303" s="900"/>
    </row>
    <row r="304" spans="2:12" ht="15.75" hidden="1" customHeight="1" outlineLevel="1">
      <c r="B304" s="1026"/>
      <c r="C304" s="1585" t="s">
        <v>393</v>
      </c>
      <c r="D304" s="1477"/>
      <c r="E304" s="1477"/>
      <c r="F304" s="1477"/>
      <c r="G304" s="1477"/>
      <c r="H304" s="1477"/>
      <c r="I304" s="1521"/>
      <c r="J304" s="788">
        <f>J302</f>
        <v>0</v>
      </c>
      <c r="K304" s="900"/>
      <c r="L304" s="900"/>
    </row>
    <row r="305" spans="2:12" ht="15.75" hidden="1" customHeight="1" outlineLevel="1">
      <c r="B305" s="908"/>
      <c r="C305" s="908"/>
      <c r="D305" s="908"/>
      <c r="E305" s="908"/>
      <c r="F305" s="908"/>
      <c r="G305" s="908"/>
      <c r="H305" s="908"/>
      <c r="I305" s="908"/>
      <c r="J305" s="908"/>
      <c r="K305" s="900"/>
      <c r="L305" s="900"/>
    </row>
    <row r="306" spans="2:12" ht="15.75" hidden="1" customHeight="1" outlineLevel="1">
      <c r="B306" s="805">
        <v>6</v>
      </c>
      <c r="C306" s="1555" t="s">
        <v>853</v>
      </c>
      <c r="D306" s="1477"/>
      <c r="E306" s="1477"/>
      <c r="F306" s="1477"/>
      <c r="G306" s="1477"/>
      <c r="H306" s="1478"/>
      <c r="I306" s="863" t="s">
        <v>354</v>
      </c>
      <c r="J306" s="864" t="s">
        <v>398</v>
      </c>
      <c r="K306" s="900"/>
      <c r="L306" s="900"/>
    </row>
    <row r="307" spans="2:12" ht="15.75" hidden="1" customHeight="1" outlineLevel="1">
      <c r="B307" s="1560" t="s">
        <v>473</v>
      </c>
      <c r="C307" s="1477"/>
      <c r="D307" s="1477"/>
      <c r="E307" s="1477"/>
      <c r="F307" s="1477"/>
      <c r="G307" s="1477"/>
      <c r="H307" s="1478"/>
      <c r="I307" s="434" t="str">
        <f t="shared" ref="I307:I320" si="20">I271</f>
        <v>-</v>
      </c>
      <c r="J307" s="866">
        <f>J304</f>
        <v>0</v>
      </c>
      <c r="K307" s="900"/>
      <c r="L307" s="900"/>
    </row>
    <row r="308" spans="2:12" ht="15.75" hidden="1" customHeight="1" outlineLevel="1">
      <c r="B308" s="743" t="s">
        <v>312</v>
      </c>
      <c r="C308" s="1561" t="s">
        <v>474</v>
      </c>
      <c r="D308" s="1477"/>
      <c r="E308" s="1477"/>
      <c r="F308" s="1477"/>
      <c r="G308" s="1477"/>
      <c r="H308" s="1478"/>
      <c r="I308" s="868">
        <f t="shared" si="20"/>
        <v>0.06</v>
      </c>
      <c r="J308" s="796">
        <f>ROUND(I308*J307,2)</f>
        <v>0</v>
      </c>
      <c r="K308" s="900"/>
      <c r="L308" s="900"/>
    </row>
    <row r="309" spans="2:12" ht="15.75" hidden="1" customHeight="1" outlineLevel="1">
      <c r="B309" s="1560" t="s">
        <v>475</v>
      </c>
      <c r="C309" s="1477"/>
      <c r="D309" s="1477"/>
      <c r="E309" s="1477"/>
      <c r="F309" s="1477"/>
      <c r="G309" s="1477"/>
      <c r="H309" s="1478"/>
      <c r="I309" s="868" t="str">
        <f t="shared" si="20"/>
        <v>-</v>
      </c>
      <c r="J309" s="866">
        <f>J307+J308</f>
        <v>0</v>
      </c>
      <c r="K309" s="900"/>
      <c r="L309" s="900"/>
    </row>
    <row r="310" spans="2:12" ht="15.75" hidden="1" customHeight="1" outlineLevel="1">
      <c r="B310" s="743" t="s">
        <v>314</v>
      </c>
      <c r="C310" s="1561" t="s">
        <v>251</v>
      </c>
      <c r="D310" s="1477"/>
      <c r="E310" s="1477"/>
      <c r="F310" s="1477"/>
      <c r="G310" s="1477"/>
      <c r="H310" s="1478"/>
      <c r="I310" s="868">
        <f t="shared" si="20"/>
        <v>0.06</v>
      </c>
      <c r="J310" s="796">
        <f>ROUND(I310*J309,2)</f>
        <v>0</v>
      </c>
      <c r="K310" s="900"/>
      <c r="L310" s="900"/>
    </row>
    <row r="311" spans="2:12" ht="15.75" hidden="1" customHeight="1" outlineLevel="1">
      <c r="B311" s="1560" t="s">
        <v>476</v>
      </c>
      <c r="C311" s="1477"/>
      <c r="D311" s="1477"/>
      <c r="E311" s="1477"/>
      <c r="F311" s="1477"/>
      <c r="G311" s="1477"/>
      <c r="H311" s="1478"/>
      <c r="I311" s="868" t="str">
        <f t="shared" si="20"/>
        <v>-</v>
      </c>
      <c r="J311" s="866">
        <f>SUM(J307+J308+J310)</f>
        <v>0</v>
      </c>
      <c r="K311" s="900"/>
      <c r="L311" s="900"/>
    </row>
    <row r="312" spans="2:12" ht="15.75" hidden="1" customHeight="1" outlineLevel="1">
      <c r="B312" s="870" t="s">
        <v>316</v>
      </c>
      <c r="C312" s="1559" t="s">
        <v>477</v>
      </c>
      <c r="D312" s="1477"/>
      <c r="E312" s="1477"/>
      <c r="F312" s="1477"/>
      <c r="G312" s="1477"/>
      <c r="H312" s="1478"/>
      <c r="I312" s="868" t="str">
        <f t="shared" si="20"/>
        <v>-</v>
      </c>
      <c r="J312" s="769" t="s">
        <v>325</v>
      </c>
      <c r="K312" s="900"/>
      <c r="L312" s="900"/>
    </row>
    <row r="313" spans="2:12" ht="15.75" hidden="1" customHeight="1" outlineLevel="1">
      <c r="B313" s="743"/>
      <c r="C313" s="1589" t="s">
        <v>478</v>
      </c>
      <c r="D313" s="1477"/>
      <c r="E313" s="1477"/>
      <c r="F313" s="1477"/>
      <c r="G313" s="1477"/>
      <c r="H313" s="1478"/>
      <c r="I313" s="868" t="str">
        <f t="shared" si="20"/>
        <v>-</v>
      </c>
      <c r="J313" s="769" t="s">
        <v>325</v>
      </c>
      <c r="K313" s="900"/>
      <c r="L313" s="900"/>
    </row>
    <row r="314" spans="2:12" ht="15.75" hidden="1" customHeight="1" outlineLevel="1">
      <c r="B314" s="743"/>
      <c r="C314" s="1590" t="s">
        <v>943</v>
      </c>
      <c r="D314" s="1477"/>
      <c r="E314" s="1477"/>
      <c r="F314" s="1477"/>
      <c r="G314" s="1477"/>
      <c r="H314" s="1478"/>
      <c r="I314" s="868">
        <f t="shared" si="20"/>
        <v>1.6500000000000001E-2</v>
      </c>
      <c r="J314" s="758">
        <f t="shared" ref="J314:J315" si="21">ROUND(($J$311/(1-$I$179))*I314,2)</f>
        <v>0</v>
      </c>
      <c r="K314" s="900"/>
      <c r="L314" s="900"/>
    </row>
    <row r="315" spans="2:12" ht="15.75" hidden="1" customHeight="1" outlineLevel="1">
      <c r="B315" s="743"/>
      <c r="C315" s="1590" t="s">
        <v>944</v>
      </c>
      <c r="D315" s="1477"/>
      <c r="E315" s="1477"/>
      <c r="F315" s="1477"/>
      <c r="G315" s="1477"/>
      <c r="H315" s="1478"/>
      <c r="I315" s="868">
        <f t="shared" si="20"/>
        <v>7.5999999999999998E-2</v>
      </c>
      <c r="J315" s="758">
        <f t="shared" si="21"/>
        <v>0</v>
      </c>
      <c r="K315" s="900"/>
      <c r="L315" s="900"/>
    </row>
    <row r="316" spans="2:12" ht="15.75" hidden="1" customHeight="1" outlineLevel="1">
      <c r="B316" s="743"/>
      <c r="C316" s="1577" t="s">
        <v>945</v>
      </c>
      <c r="D316" s="1477"/>
      <c r="E316" s="1477"/>
      <c r="F316" s="1477"/>
      <c r="G316" s="1477"/>
      <c r="H316" s="1478"/>
      <c r="I316" s="868" t="str">
        <f t="shared" si="20"/>
        <v>-</v>
      </c>
      <c r="J316" s="951" t="s">
        <v>325</v>
      </c>
      <c r="K316" s="952"/>
      <c r="L316" s="953"/>
    </row>
    <row r="317" spans="2:12" ht="15.75" hidden="1" customHeight="1" outlineLevel="1">
      <c r="B317" s="743"/>
      <c r="C317" s="1577" t="s">
        <v>946</v>
      </c>
      <c r="D317" s="1477"/>
      <c r="E317" s="1477"/>
      <c r="F317" s="1477"/>
      <c r="G317" s="1477"/>
      <c r="H317" s="1478"/>
      <c r="I317" s="868" t="str">
        <f t="shared" si="20"/>
        <v>-</v>
      </c>
      <c r="J317" s="769" t="s">
        <v>325</v>
      </c>
      <c r="K317" s="900"/>
      <c r="L317" s="900"/>
    </row>
    <row r="318" spans="2:12" ht="15.75" hidden="1" customHeight="1" outlineLevel="1">
      <c r="B318" s="743"/>
      <c r="C318" s="1577" t="s">
        <v>483</v>
      </c>
      <c r="D318" s="1477"/>
      <c r="E318" s="1477"/>
      <c r="F318" s="1477"/>
      <c r="G318" s="1477"/>
      <c r="H318" s="1477"/>
      <c r="I318" s="868" t="str">
        <f t="shared" si="20"/>
        <v>-</v>
      </c>
      <c r="J318" s="769" t="s">
        <v>325</v>
      </c>
      <c r="K318" s="900"/>
      <c r="L318" s="900"/>
    </row>
    <row r="319" spans="2:12" ht="15.75" hidden="1" customHeight="1" outlineLevel="1">
      <c r="B319" s="743"/>
      <c r="C319" s="1577" t="s">
        <v>484</v>
      </c>
      <c r="D319" s="1477"/>
      <c r="E319" s="1477"/>
      <c r="F319" s="1477"/>
      <c r="G319" s="1477"/>
      <c r="H319" s="1477"/>
      <c r="I319" s="868" t="str">
        <f t="shared" si="20"/>
        <v>-</v>
      </c>
      <c r="J319" s="769" t="s">
        <v>325</v>
      </c>
      <c r="K319" s="900"/>
      <c r="L319" s="900"/>
    </row>
    <row r="320" spans="2:12" ht="15.75" hidden="1" customHeight="1" outlineLevel="1">
      <c r="B320" s="743"/>
      <c r="C320" s="1577" t="s">
        <v>485</v>
      </c>
      <c r="D320" s="1477"/>
      <c r="E320" s="1477"/>
      <c r="F320" s="1477"/>
      <c r="G320" s="1477"/>
      <c r="H320" s="1478"/>
      <c r="I320" s="868">
        <f t="shared" si="20"/>
        <v>0.02</v>
      </c>
      <c r="J320" s="758">
        <f>ROUND(($J$311/(1-$I$179))*I320,2)</f>
        <v>0</v>
      </c>
      <c r="K320" s="900"/>
      <c r="L320" s="900"/>
    </row>
    <row r="321" spans="2:12" ht="15.75" hidden="1" customHeight="1" outlineLevel="1">
      <c r="B321" s="1585" t="s">
        <v>441</v>
      </c>
      <c r="C321" s="1477"/>
      <c r="D321" s="1477"/>
      <c r="E321" s="1477"/>
      <c r="F321" s="1477"/>
      <c r="G321" s="1477"/>
      <c r="H321" s="1477"/>
      <c r="I321" s="1478"/>
      <c r="J321" s="788">
        <f>SUM(J308+J310+J314+J315+J320)</f>
        <v>0</v>
      </c>
      <c r="K321" s="900"/>
      <c r="L321" s="900"/>
    </row>
    <row r="322" spans="2:12" ht="15.75" hidden="1" customHeight="1" outlineLevel="1">
      <c r="B322" s="908"/>
      <c r="C322" s="908"/>
      <c r="D322" s="908"/>
      <c r="E322" s="908"/>
      <c r="F322" s="908"/>
      <c r="G322" s="908"/>
      <c r="H322" s="908"/>
      <c r="I322" s="908"/>
      <c r="J322" s="908"/>
      <c r="K322" s="900"/>
      <c r="L322" s="900"/>
    </row>
    <row r="323" spans="2:12" ht="15.75" hidden="1" customHeight="1" outlineLevel="1">
      <c r="B323" s="1572" t="s">
        <v>577</v>
      </c>
      <c r="C323" s="1477"/>
      <c r="D323" s="1477"/>
      <c r="E323" s="1477"/>
      <c r="F323" s="1477"/>
      <c r="G323" s="1477"/>
      <c r="H323" s="1477"/>
      <c r="I323" s="1478"/>
      <c r="J323" s="863" t="s">
        <v>390</v>
      </c>
      <c r="K323" s="900"/>
      <c r="L323" s="900"/>
    </row>
    <row r="324" spans="2:12" ht="15.75" hidden="1" customHeight="1" outlineLevel="1">
      <c r="B324" s="880" t="s">
        <v>312</v>
      </c>
      <c r="C324" s="1599" t="s">
        <v>494</v>
      </c>
      <c r="D324" s="1477"/>
      <c r="E324" s="1477"/>
      <c r="F324" s="1477"/>
      <c r="G324" s="1477"/>
      <c r="H324" s="1477"/>
      <c r="I324" s="1477"/>
      <c r="J324" s="881">
        <v>0</v>
      </c>
      <c r="K324" s="900"/>
      <c r="L324" s="900"/>
    </row>
    <row r="325" spans="2:12" ht="15.75" hidden="1" customHeight="1" outlineLevel="1">
      <c r="B325" s="880" t="s">
        <v>314</v>
      </c>
      <c r="C325" s="1599" t="s">
        <v>578</v>
      </c>
      <c r="D325" s="1477"/>
      <c r="E325" s="1477"/>
      <c r="F325" s="1477"/>
      <c r="G325" s="1477"/>
      <c r="H325" s="1477"/>
      <c r="I325" s="1477"/>
      <c r="J325" s="881">
        <f>J304</f>
        <v>0</v>
      </c>
      <c r="K325" s="900"/>
      <c r="L325" s="900"/>
    </row>
    <row r="326" spans="2:12" ht="15.75" hidden="1" customHeight="1" outlineLevel="1">
      <c r="B326" s="880" t="s">
        <v>316</v>
      </c>
      <c r="C326" s="1599" t="s">
        <v>496</v>
      </c>
      <c r="D326" s="1477"/>
      <c r="E326" s="1477"/>
      <c r="F326" s="1477"/>
      <c r="G326" s="1477"/>
      <c r="H326" s="1477"/>
      <c r="I326" s="1477"/>
      <c r="J326" s="881">
        <v>0</v>
      </c>
      <c r="K326" s="900"/>
      <c r="L326" s="900"/>
    </row>
    <row r="327" spans="2:12" ht="15.75" hidden="1" customHeight="1" outlineLevel="1">
      <c r="B327" s="880" t="s">
        <v>318</v>
      </c>
      <c r="C327" s="1599" t="s">
        <v>497</v>
      </c>
      <c r="D327" s="1477"/>
      <c r="E327" s="1477"/>
      <c r="F327" s="1477"/>
      <c r="G327" s="1477"/>
      <c r="H327" s="1477"/>
      <c r="I327" s="1477"/>
      <c r="J327" s="881">
        <v>0</v>
      </c>
      <c r="K327" s="900"/>
      <c r="L327" s="900"/>
    </row>
    <row r="328" spans="2:12" ht="15.75" hidden="1" customHeight="1" outlineLevel="1">
      <c r="B328" s="880" t="s">
        <v>360</v>
      </c>
      <c r="C328" s="1599" t="s">
        <v>498</v>
      </c>
      <c r="D328" s="1477"/>
      <c r="E328" s="1477"/>
      <c r="F328" s="1477"/>
      <c r="G328" s="1477"/>
      <c r="H328" s="1477"/>
      <c r="I328" s="1477"/>
      <c r="J328" s="881">
        <v>0</v>
      </c>
      <c r="K328" s="900"/>
      <c r="L328" s="900"/>
    </row>
    <row r="329" spans="2:12" ht="15.75" hidden="1" customHeight="1" outlineLevel="1">
      <c r="B329" s="1600" t="s">
        <v>499</v>
      </c>
      <c r="C329" s="1477"/>
      <c r="D329" s="1477"/>
      <c r="E329" s="1477"/>
      <c r="F329" s="1477"/>
      <c r="G329" s="1477"/>
      <c r="H329" s="1477"/>
      <c r="I329" s="1521"/>
      <c r="J329" s="857">
        <f>SUM(J324:J328)</f>
        <v>0</v>
      </c>
      <c r="K329" s="900"/>
      <c r="L329" s="900"/>
    </row>
    <row r="330" spans="2:12" ht="15.75" hidden="1" customHeight="1" outlineLevel="1">
      <c r="B330" s="882" t="s">
        <v>364</v>
      </c>
      <c r="C330" s="1599" t="s">
        <v>471</v>
      </c>
      <c r="D330" s="1477"/>
      <c r="E330" s="1477"/>
      <c r="F330" s="1477"/>
      <c r="G330" s="1477"/>
      <c r="H330" s="1477"/>
      <c r="I330" s="1477"/>
      <c r="J330" s="881">
        <f>J321</f>
        <v>0</v>
      </c>
      <c r="K330" s="900"/>
      <c r="L330" s="900"/>
    </row>
    <row r="331" spans="2:12" ht="15.75" hidden="1" customHeight="1" outlineLevel="1">
      <c r="B331" s="1600" t="s">
        <v>579</v>
      </c>
      <c r="C331" s="1477"/>
      <c r="D331" s="1477"/>
      <c r="E331" s="1477"/>
      <c r="F331" s="1477"/>
      <c r="G331" s="1477"/>
      <c r="H331" s="1477"/>
      <c r="I331" s="1521"/>
      <c r="J331" s="954">
        <f>ROUND(J325+J321,2)</f>
        <v>0</v>
      </c>
      <c r="K331" s="897" t="s">
        <v>580</v>
      </c>
      <c r="L331" s="897" t="str">
        <f>L295</f>
        <v>2394-25_PSICOPEGAGOGO_40h</v>
      </c>
    </row>
    <row r="332" spans="2:12" ht="15.75" hidden="1" customHeight="1" outlineLevel="1">
      <c r="B332" s="908"/>
      <c r="C332" s="908"/>
      <c r="D332" s="908"/>
      <c r="E332" s="908"/>
      <c r="F332" s="908"/>
      <c r="G332" s="908"/>
      <c r="H332" s="908"/>
      <c r="I332" s="908"/>
      <c r="J332" s="908"/>
      <c r="K332" s="900"/>
      <c r="L332" s="900"/>
    </row>
    <row r="333" spans="2:12" ht="15.75" hidden="1" customHeight="1" outlineLevel="1">
      <c r="B333" s="1606" t="s">
        <v>581</v>
      </c>
      <c r="C333" s="1477"/>
      <c r="D333" s="1477"/>
      <c r="E333" s="1477"/>
      <c r="F333" s="1477"/>
      <c r="G333" s="1477"/>
      <c r="H333" s="1477"/>
      <c r="I333" s="1477"/>
      <c r="J333" s="1478"/>
      <c r="K333" s="900"/>
    </row>
    <row r="334" spans="2:12" ht="56.25" hidden="1" customHeight="1" outlineLevel="1">
      <c r="B334" s="1607" t="s">
        <v>503</v>
      </c>
      <c r="C334" s="1575"/>
      <c r="D334" s="1575"/>
      <c r="E334" s="1608"/>
      <c r="F334" s="955" t="s">
        <v>582</v>
      </c>
      <c r="G334" s="956" t="s">
        <v>947</v>
      </c>
      <c r="H334" s="957" t="s">
        <v>506</v>
      </c>
      <c r="I334" s="1607" t="s">
        <v>507</v>
      </c>
      <c r="J334" s="1608"/>
      <c r="K334" s="900"/>
    </row>
    <row r="335" spans="2:12" ht="43.5" hidden="1" customHeight="1" outlineLevel="1">
      <c r="B335" s="1609" t="str">
        <f>B203</f>
        <v>2394-25_PSICOPEGAGOGO_40h</v>
      </c>
      <c r="C335" s="1477"/>
      <c r="D335" s="1477"/>
      <c r="E335" s="1478"/>
      <c r="F335" s="958">
        <f>J331</f>
        <v>0</v>
      </c>
      <c r="G335" s="959">
        <f>G203</f>
        <v>1</v>
      </c>
      <c r="H335" s="960">
        <f>H207</f>
        <v>1</v>
      </c>
      <c r="I335" s="1610">
        <f>F335*G335</f>
        <v>0</v>
      </c>
      <c r="J335" s="1478"/>
      <c r="K335" s="900"/>
    </row>
    <row r="336" spans="2:12" ht="15.75" hidden="1" customHeight="1" outlineLevel="1">
      <c r="B336" s="1562"/>
      <c r="C336" s="1477"/>
      <c r="D336" s="1477"/>
      <c r="E336" s="1477"/>
      <c r="F336" s="1477"/>
      <c r="G336" s="1477"/>
      <c r="H336" s="1477"/>
      <c r="I336" s="1477"/>
      <c r="J336" s="1478"/>
      <c r="K336" s="900"/>
    </row>
    <row r="337" spans="2:11" ht="30" hidden="1" customHeight="1" outlineLevel="1">
      <c r="B337" s="1563" t="s">
        <v>584</v>
      </c>
      <c r="C337" s="1477"/>
      <c r="D337" s="1477"/>
      <c r="E337" s="1477"/>
      <c r="F337" s="1477"/>
      <c r="G337" s="1478"/>
      <c r="H337" s="1564">
        <f>I335</f>
        <v>0</v>
      </c>
      <c r="I337" s="1477"/>
      <c r="J337" s="1478"/>
      <c r="K337" s="900"/>
    </row>
    <row r="338" spans="2:11" ht="15.75" hidden="1" customHeight="1" outlineLevel="1">
      <c r="B338" s="1565"/>
      <c r="C338" s="1528"/>
      <c r="D338" s="1528"/>
      <c r="E338" s="1528"/>
      <c r="F338" s="1528"/>
      <c r="G338" s="1528"/>
      <c r="H338" s="1528"/>
      <c r="I338" s="1528"/>
      <c r="J338" s="1566"/>
      <c r="K338" s="900"/>
    </row>
    <row r="339" spans="2:11" ht="15.75" hidden="1" customHeight="1" outlineLevel="1">
      <c r="B339" s="1563" t="s">
        <v>517</v>
      </c>
      <c r="C339" s="1477"/>
      <c r="D339" s="1477"/>
      <c r="E339" s="1477"/>
      <c r="F339" s="1477"/>
      <c r="G339" s="1478"/>
      <c r="H339" s="1567">
        <f>$I$11</f>
        <v>30</v>
      </c>
      <c r="I339" s="1477"/>
      <c r="J339" s="1478"/>
      <c r="K339" s="900"/>
    </row>
    <row r="340" spans="2:11" ht="15.75" hidden="1" customHeight="1" outlineLevel="1">
      <c r="B340" s="1568"/>
      <c r="C340" s="1477"/>
      <c r="D340" s="1477"/>
      <c r="E340" s="1477"/>
      <c r="F340" s="1477"/>
      <c r="G340" s="1477"/>
      <c r="H340" s="1477"/>
      <c r="I340" s="1477"/>
      <c r="J340" s="1478"/>
      <c r="K340" s="900"/>
    </row>
    <row r="341" spans="2:11" ht="15.75" hidden="1" customHeight="1" outlineLevel="1">
      <c r="B341" s="1563" t="s">
        <v>948</v>
      </c>
      <c r="C341" s="1477"/>
      <c r="D341" s="1477"/>
      <c r="E341" s="1477"/>
      <c r="F341" s="1477"/>
      <c r="G341" s="1478"/>
      <c r="H341" s="1569">
        <f>ROUND(H337*H339,2)</f>
        <v>0</v>
      </c>
      <c r="I341" s="1477"/>
      <c r="J341" s="1478"/>
      <c r="K341" s="900"/>
    </row>
    <row r="342" spans="2:11" ht="15.75" hidden="1" customHeight="1" outlineLevel="1">
      <c r="B342" s="1570"/>
      <c r="C342" s="1477"/>
      <c r="D342" s="1477"/>
      <c r="E342" s="1477"/>
      <c r="F342" s="1477"/>
      <c r="G342" s="1477"/>
      <c r="H342" s="1477"/>
      <c r="I342" s="1477"/>
      <c r="J342" s="1478"/>
      <c r="K342" s="962"/>
    </row>
    <row r="343" spans="2:11" ht="15.75" hidden="1" customHeight="1" outlineLevel="1">
      <c r="B343" s="963"/>
      <c r="C343" s="964"/>
      <c r="D343" s="964"/>
      <c r="E343" s="964"/>
      <c r="F343" s="965"/>
      <c r="G343" s="965"/>
      <c r="H343" s="965"/>
      <c r="I343" s="966"/>
      <c r="J343" s="967"/>
      <c r="K343" s="904"/>
    </row>
    <row r="344" spans="2:11" ht="28.5" hidden="1" customHeight="1" outlineLevel="1">
      <c r="B344" s="1591" t="str">
        <f>B3</f>
        <v>2394-25_PSICOPEGAGOGO_40h</v>
      </c>
      <c r="C344" s="1419"/>
      <c r="D344" s="1419"/>
      <c r="E344" s="1592"/>
      <c r="F344" s="968">
        <f>I203</f>
        <v>11700.68</v>
      </c>
      <c r="G344" s="969">
        <f>G203</f>
        <v>1</v>
      </c>
      <c r="H344" s="969">
        <f>H207</f>
        <v>1</v>
      </c>
      <c r="I344" s="970">
        <f>F344*H344</f>
        <v>11700.68</v>
      </c>
      <c r="J344" s="971">
        <f>I344*H339</f>
        <v>351020.4</v>
      </c>
      <c r="K344" s="900"/>
    </row>
    <row r="345" spans="2:11" ht="28.5" hidden="1" customHeight="1" outlineLevel="1">
      <c r="B345" s="1593" t="str">
        <f>B219</f>
        <v>CALCULO DO CUSTO EXCLUSIVO de HORAS EXTRAS</v>
      </c>
      <c r="C345" s="1594"/>
      <c r="D345" s="1594"/>
      <c r="E345" s="1595"/>
      <c r="F345" s="972">
        <f>J295</f>
        <v>0</v>
      </c>
      <c r="G345" s="969">
        <f t="shared" ref="G345:H345" si="22">G344</f>
        <v>1</v>
      </c>
      <c r="H345" s="969">
        <f t="shared" si="22"/>
        <v>1</v>
      </c>
      <c r="I345" s="970">
        <f>IF(H335&gt;=1, F345*1, 0)</f>
        <v>0</v>
      </c>
      <c r="J345" s="971">
        <f>I345*H339</f>
        <v>0</v>
      </c>
      <c r="K345" s="900"/>
    </row>
    <row r="346" spans="2:11" ht="28.5" hidden="1" customHeight="1" outlineLevel="1">
      <c r="B346" s="1596" t="str">
        <f>B297</f>
        <v xml:space="preserve">CALCULO DO CUSTO EXCLUSIVO das DIÁRIAS </v>
      </c>
      <c r="C346" s="1597"/>
      <c r="D346" s="1597"/>
      <c r="E346" s="1598"/>
      <c r="F346" s="973">
        <f>J331</f>
        <v>0</v>
      </c>
      <c r="G346" s="974">
        <f t="shared" ref="G346:H346" si="23">G345</f>
        <v>1</v>
      </c>
      <c r="H346" s="974">
        <f t="shared" si="23"/>
        <v>1</v>
      </c>
      <c r="I346" s="975">
        <f>IF(H335&gt;=1, F346*1, 0)</f>
        <v>0</v>
      </c>
      <c r="J346" s="976">
        <f>I346*H339</f>
        <v>0</v>
      </c>
      <c r="K346" s="900"/>
    </row>
    <row r="347" spans="2:11" ht="39" hidden="1" customHeight="1" outlineLevel="1">
      <c r="B347" s="977" t="s">
        <v>586</v>
      </c>
      <c r="C347" s="978"/>
      <c r="D347" s="979" t="str">
        <f>G297</f>
        <v>2394-25_PSICOPEGAGOGO_40h</v>
      </c>
      <c r="E347" s="978"/>
      <c r="F347" s="978"/>
      <c r="G347" s="978"/>
      <c r="H347" s="978"/>
      <c r="I347" s="980"/>
      <c r="J347" s="981">
        <f>J344+J345+J346</f>
        <v>351020.4</v>
      </c>
      <c r="K347" s="900"/>
    </row>
    <row r="348" spans="2:11" ht="15.75" customHeight="1">
      <c r="B348" s="908"/>
      <c r="C348" s="908"/>
      <c r="D348" s="908"/>
      <c r="E348" s="908"/>
      <c r="F348" s="908"/>
      <c r="G348" s="908"/>
      <c r="H348" s="908"/>
      <c r="I348" s="908"/>
      <c r="J348" s="1072"/>
      <c r="K348" s="900"/>
    </row>
    <row r="349" spans="2:11" ht="15.75" customHeight="1"/>
    <row r="350" spans="2:11" ht="15.75" customHeight="1"/>
    <row r="351" spans="2:11" ht="15.75" customHeight="1"/>
    <row r="352" spans="2:11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387">
    <mergeCell ref="C132:I132"/>
    <mergeCell ref="C133:G133"/>
    <mergeCell ref="C134:I134"/>
    <mergeCell ref="C135:I135"/>
    <mergeCell ref="C136:I136"/>
    <mergeCell ref="C137:I137"/>
    <mergeCell ref="C138:I138"/>
    <mergeCell ref="C190:I190"/>
    <mergeCell ref="C191:I191"/>
    <mergeCell ref="M106:S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25:J125"/>
    <mergeCell ref="B126:J126"/>
    <mergeCell ref="B127:J127"/>
    <mergeCell ref="B128:J128"/>
    <mergeCell ref="B130:J130"/>
    <mergeCell ref="B131:J131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E95"/>
    <mergeCell ref="B76:J76"/>
    <mergeCell ref="B117:J117"/>
    <mergeCell ref="C118:I118"/>
    <mergeCell ref="C119:I119"/>
    <mergeCell ref="C120:I120"/>
    <mergeCell ref="C121:H121"/>
    <mergeCell ref="C122:I122"/>
    <mergeCell ref="C123:H123"/>
    <mergeCell ref="B124:I124"/>
    <mergeCell ref="F95:G95"/>
    <mergeCell ref="C96:G96"/>
    <mergeCell ref="C97:I97"/>
    <mergeCell ref="C98:H98"/>
    <mergeCell ref="C99:G99"/>
    <mergeCell ref="C100:G100"/>
    <mergeCell ref="C101:I101"/>
    <mergeCell ref="C102:I102"/>
    <mergeCell ref="C103:I103"/>
    <mergeCell ref="C104:I104"/>
    <mergeCell ref="C105:E105"/>
    <mergeCell ref="F105:H105"/>
    <mergeCell ref="C106:I106"/>
    <mergeCell ref="B115:I115"/>
    <mergeCell ref="B116:J11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C291:I291"/>
    <mergeCell ref="C292:I292"/>
    <mergeCell ref="B293:I293"/>
    <mergeCell ref="C294:I294"/>
    <mergeCell ref="B295:I295"/>
    <mergeCell ref="B299:J299"/>
    <mergeCell ref="C300:I30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C281:H281"/>
    <mergeCell ref="C282:H282"/>
    <mergeCell ref="C283:H283"/>
    <mergeCell ref="C284:H284"/>
    <mergeCell ref="B285:I285"/>
    <mergeCell ref="B287:I287"/>
    <mergeCell ref="C288:I288"/>
    <mergeCell ref="C289:I289"/>
    <mergeCell ref="C290:I290"/>
    <mergeCell ref="C272:H272"/>
    <mergeCell ref="B273:H273"/>
    <mergeCell ref="C274:H274"/>
    <mergeCell ref="B275:H275"/>
    <mergeCell ref="C276:H276"/>
    <mergeCell ref="C277:H277"/>
    <mergeCell ref="C278:H278"/>
    <mergeCell ref="C279:H279"/>
    <mergeCell ref="C280:H280"/>
    <mergeCell ref="C262:I262"/>
    <mergeCell ref="C263:I263"/>
    <mergeCell ref="C264:I264"/>
    <mergeCell ref="C265:I265"/>
    <mergeCell ref="C266:I266"/>
    <mergeCell ref="B267:I267"/>
    <mergeCell ref="B269:J269"/>
    <mergeCell ref="C270:H270"/>
    <mergeCell ref="B271:H271"/>
    <mergeCell ref="B344:E344"/>
    <mergeCell ref="B345:E345"/>
    <mergeCell ref="B346:E346"/>
    <mergeCell ref="B338:J338"/>
    <mergeCell ref="B339:G339"/>
    <mergeCell ref="H339:J339"/>
    <mergeCell ref="B340:J340"/>
    <mergeCell ref="B341:G341"/>
    <mergeCell ref="H341:J341"/>
    <mergeCell ref="B342:J342"/>
    <mergeCell ref="B331:I331"/>
    <mergeCell ref="B333:J333"/>
    <mergeCell ref="B334:E334"/>
    <mergeCell ref="I334:J334"/>
    <mergeCell ref="B335:E335"/>
    <mergeCell ref="I335:J335"/>
    <mergeCell ref="B336:J336"/>
    <mergeCell ref="B337:G337"/>
    <mergeCell ref="H337:J337"/>
    <mergeCell ref="B321:I321"/>
    <mergeCell ref="B323:I323"/>
    <mergeCell ref="C324:I324"/>
    <mergeCell ref="C325:I325"/>
    <mergeCell ref="C326:I326"/>
    <mergeCell ref="C327:I327"/>
    <mergeCell ref="C328:I328"/>
    <mergeCell ref="B329:I329"/>
    <mergeCell ref="C330:I330"/>
    <mergeCell ref="C312:H312"/>
    <mergeCell ref="C313:H313"/>
    <mergeCell ref="C314:H314"/>
    <mergeCell ref="C315:H315"/>
    <mergeCell ref="C316:H316"/>
    <mergeCell ref="C317:H317"/>
    <mergeCell ref="C318:H318"/>
    <mergeCell ref="C319:H319"/>
    <mergeCell ref="C320:H320"/>
    <mergeCell ref="C242:H242"/>
    <mergeCell ref="B302:B303"/>
    <mergeCell ref="C304:I304"/>
    <mergeCell ref="C306:H306"/>
    <mergeCell ref="B307:H307"/>
    <mergeCell ref="C308:H308"/>
    <mergeCell ref="B309:H309"/>
    <mergeCell ref="C310:H310"/>
    <mergeCell ref="B311:H311"/>
    <mergeCell ref="C243:H243"/>
    <mergeCell ref="C244:H244"/>
    <mergeCell ref="B245:H245"/>
    <mergeCell ref="B247:J247"/>
    <mergeCell ref="C248:I248"/>
    <mergeCell ref="C249:I249"/>
    <mergeCell ref="C250:I250"/>
    <mergeCell ref="C251:H251"/>
    <mergeCell ref="C252:I252"/>
    <mergeCell ref="C253:H253"/>
    <mergeCell ref="B254:I254"/>
    <mergeCell ref="B256:J256"/>
    <mergeCell ref="B259:J259"/>
    <mergeCell ref="C260:I260"/>
    <mergeCell ref="C261:G261"/>
    <mergeCell ref="C174:H174"/>
    <mergeCell ref="D181:J181"/>
    <mergeCell ref="D182:J182"/>
    <mergeCell ref="C236:H236"/>
    <mergeCell ref="C237:H237"/>
    <mergeCell ref="C238:H238"/>
    <mergeCell ref="C239:D239"/>
    <mergeCell ref="C240:H240"/>
    <mergeCell ref="C241:H24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I200:J200"/>
    <mergeCell ref="B201:E201"/>
    <mergeCell ref="F201:G201"/>
    <mergeCell ref="I201:J201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55:I155"/>
    <mergeCell ref="C156:I156"/>
    <mergeCell ref="B157:I157"/>
    <mergeCell ref="B158:J158"/>
    <mergeCell ref="B159:J159"/>
    <mergeCell ref="B161:J161"/>
    <mergeCell ref="C162:H162"/>
    <mergeCell ref="B163:H163"/>
    <mergeCell ref="C164:H164"/>
    <mergeCell ref="C226:I226"/>
    <mergeCell ref="B227:I227"/>
    <mergeCell ref="B229:J229"/>
    <mergeCell ref="B230:J230"/>
    <mergeCell ref="C231:I231"/>
    <mergeCell ref="C232:H232"/>
    <mergeCell ref="C233:H233"/>
    <mergeCell ref="B234:I234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B215:G215"/>
    <mergeCell ref="H215:J215"/>
    <mergeCell ref="B216:J216"/>
    <mergeCell ref="B220:J220"/>
    <mergeCell ref="C221:H221"/>
    <mergeCell ref="C222:E222"/>
    <mergeCell ref="C223:E223"/>
    <mergeCell ref="C224:E224"/>
    <mergeCell ref="C225:E225"/>
    <mergeCell ref="B208:J208"/>
    <mergeCell ref="B209:J209"/>
    <mergeCell ref="B210:J210"/>
    <mergeCell ref="B211:G211"/>
    <mergeCell ref="H211:J211"/>
    <mergeCell ref="B212:J212"/>
    <mergeCell ref="B213:G213"/>
    <mergeCell ref="H213:J213"/>
    <mergeCell ref="B214:J214"/>
    <mergeCell ref="F204:G204"/>
    <mergeCell ref="I204:J204"/>
    <mergeCell ref="B204:E204"/>
    <mergeCell ref="B205:E205"/>
    <mergeCell ref="F205:G205"/>
    <mergeCell ref="I205:J205"/>
    <mergeCell ref="B206:E206"/>
    <mergeCell ref="F206:G206"/>
    <mergeCell ref="B207:G207"/>
    <mergeCell ref="I206:J206"/>
    <mergeCell ref="I207:J207"/>
    <mergeCell ref="B185:J185"/>
    <mergeCell ref="B186:J186"/>
    <mergeCell ref="B187:I187"/>
    <mergeCell ref="C188:I188"/>
    <mergeCell ref="C189:I189"/>
    <mergeCell ref="B202:E202"/>
    <mergeCell ref="F202:G202"/>
    <mergeCell ref="I202:J202"/>
    <mergeCell ref="B203:E203"/>
    <mergeCell ref="I203:J203"/>
    <mergeCell ref="C175:H175"/>
    <mergeCell ref="C176:H176"/>
    <mergeCell ref="B177:I177"/>
    <mergeCell ref="B178:J178"/>
    <mergeCell ref="B179:H179"/>
    <mergeCell ref="B180:C182"/>
    <mergeCell ref="D180:J180"/>
    <mergeCell ref="B183:J183"/>
    <mergeCell ref="B184:J184"/>
  </mergeCells>
  <conditionalFormatting sqref="I48:I50">
    <cfRule type="cellIs" dxfId="74" priority="3" operator="equal">
      <formula>0</formula>
    </cfRule>
  </conditionalFormatting>
  <conditionalFormatting sqref="I121">
    <cfRule type="cellIs" dxfId="73" priority="2" operator="notEqual">
      <formula>"OK"</formula>
    </cfRule>
  </conditionalFormatting>
  <conditionalFormatting sqref="J133">
    <cfRule type="cellIs" dxfId="72" priority="5" operator="equal">
      <formula>0</formula>
    </cfRule>
  </conditionalFormatting>
  <conditionalFormatting sqref="J261">
    <cfRule type="cellIs" dxfId="71" priority="1" operator="equal">
      <formula>0</formula>
    </cfRule>
  </conditionalFormatting>
  <pageMargins left="0.511811024" right="0.511811024" top="0.78740157499999996" bottom="0.78740157499999996" header="0" footer="0"/>
  <pageSetup scale="53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B6DDE8"/>
  </sheetPr>
  <dimension ref="A1:Z982"/>
  <sheetViews>
    <sheetView view="pageBreakPreview" zoomScale="60" zoomScaleNormal="100"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19" customWidth="1"/>
    <col min="4" max="4" width="28.26953125" customWidth="1"/>
    <col min="5" max="5" width="36.81640625" customWidth="1"/>
    <col min="6" max="6" width="28.26953125" customWidth="1"/>
    <col min="7" max="7" width="23.54296875" customWidth="1"/>
    <col min="8" max="8" width="34.08984375" customWidth="1"/>
    <col min="9" max="9" width="25.08984375" customWidth="1"/>
    <col min="10" max="10" width="29.453125" customWidth="1"/>
    <col min="11" max="11" width="23" hidden="1" customWidth="1"/>
    <col min="12" max="12" width="40" hidden="1" customWidth="1"/>
    <col min="13" max="26" width="14.453125" hidden="1"/>
  </cols>
  <sheetData>
    <row r="1" spans="1:11" ht="11.25" customHeight="1">
      <c r="A1" s="1031" t="b">
        <v>1</v>
      </c>
      <c r="B1" s="1032" t="s">
        <v>308</v>
      </c>
      <c r="C1" s="1033"/>
      <c r="D1" s="1033"/>
      <c r="E1" s="1033"/>
      <c r="F1" s="1033"/>
      <c r="G1" s="1033"/>
      <c r="H1" s="1033"/>
      <c r="I1" s="1033"/>
      <c r="J1" s="1033"/>
      <c r="K1" s="1031"/>
    </row>
    <row r="2" spans="1:11" ht="16.5" customHeight="1">
      <c r="A2" s="1031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</row>
    <row r="3" spans="1:11" ht="25.5" customHeight="1">
      <c r="A3" s="1031"/>
      <c r="B3" s="1634" t="str">
        <f>'1-ABA-DE-CARREGAMENTO'!H33</f>
        <v>2394-25_PSICOPEGAGOGO_20h</v>
      </c>
      <c r="C3" s="1575"/>
      <c r="D3" s="1575"/>
      <c r="E3" s="1575"/>
      <c r="F3" s="1575"/>
      <c r="G3" s="1575"/>
      <c r="H3" s="1575"/>
      <c r="I3" s="1575"/>
      <c r="J3" s="1608"/>
      <c r="K3" s="720"/>
    </row>
    <row r="4" spans="1:11" ht="16.5" customHeight="1">
      <c r="A4" s="1031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</row>
    <row r="5" spans="1:11" ht="16.5" customHeight="1">
      <c r="A5" s="1031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</row>
    <row r="6" spans="1:11" ht="16.5" customHeight="1">
      <c r="A6" s="1031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</row>
    <row r="7" spans="1:11" ht="16.5" customHeight="1">
      <c r="A7" s="1031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</row>
    <row r="8" spans="1:11" ht="16.5" customHeight="1">
      <c r="A8" s="1031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</row>
    <row r="9" spans="1:11" ht="16.5" customHeight="1">
      <c r="A9" s="1031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</row>
    <row r="10" spans="1:11" ht="16.5" customHeight="1">
      <c r="A10" s="1031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'1-ABA-DE-CARREGAMENTO'!H35</f>
        <v>RS001208/2026</v>
      </c>
      <c r="J10" s="1478"/>
      <c r="K10" s="721"/>
    </row>
    <row r="11" spans="1:11" ht="16.5" customHeight="1">
      <c r="A11" s="1031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'1-ABA-DE-CARREGAMENTO'!H94</f>
        <v>30</v>
      </c>
      <c r="J11" s="1478"/>
      <c r="K11" s="721"/>
    </row>
    <row r="12" spans="1:11" ht="16.5" customHeight="1">
      <c r="A12" s="1031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</row>
    <row r="13" spans="1:11" ht="25.5" customHeight="1">
      <c r="A13" s="1031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</row>
    <row r="14" spans="1:11" ht="16.5" hidden="1" customHeight="1" outlineLevel="1">
      <c r="A14" s="1031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</row>
    <row r="15" spans="1:11" ht="16.5" hidden="1" customHeight="1" outlineLevel="1">
      <c r="A15" s="1031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</row>
    <row r="16" spans="1:11" ht="16.5" hidden="1" customHeight="1" outlineLevel="1">
      <c r="A16" s="1031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</row>
    <row r="17" spans="1:11" ht="16.5" customHeight="1" collapsed="1">
      <c r="A17" s="1031"/>
      <c r="B17" s="1611" t="str">
        <f>B3</f>
        <v>2394-25_PSICOPEGAGOGO_20h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'1-ABA-DE-CARREGAMENTO'!H92</f>
        <v>1</v>
      </c>
      <c r="J17" s="1478"/>
      <c r="K17" s="728"/>
    </row>
    <row r="18" spans="1:11" ht="16.5" hidden="1" customHeight="1" outlineLevel="1">
      <c r="A18" s="1031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</row>
    <row r="19" spans="1:11" ht="16.5" hidden="1" customHeight="1" outlineLevel="1">
      <c r="A19" s="1031"/>
      <c r="B19" s="1611" t="s">
        <v>949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</row>
    <row r="20" spans="1:11" ht="16.5" customHeight="1" collapsed="1">
      <c r="A20" s="1031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1</v>
      </c>
      <c r="J20" s="1478"/>
      <c r="K20" s="729"/>
    </row>
    <row r="21" spans="1:11" ht="16.5" customHeight="1">
      <c r="A21" s="1031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</row>
    <row r="22" spans="1:11" ht="51" customHeight="1">
      <c r="A22" s="1031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</row>
    <row r="23" spans="1:11" ht="16.5" customHeight="1">
      <c r="A23" s="1031"/>
      <c r="B23" s="1618"/>
      <c r="C23" s="1477"/>
      <c r="D23" s="1477"/>
      <c r="E23" s="1477"/>
      <c r="F23" s="1477"/>
      <c r="G23" s="1477"/>
      <c r="H23" s="1477"/>
      <c r="I23" s="1477"/>
      <c r="J23" s="1478"/>
      <c r="K23" s="459"/>
    </row>
    <row r="24" spans="1:11" ht="16.5" customHeight="1">
      <c r="A24" s="1031"/>
      <c r="B24" s="1726" t="s">
        <v>950</v>
      </c>
      <c r="C24" s="1477"/>
      <c r="D24" s="1477"/>
      <c r="E24" s="1477"/>
      <c r="F24" s="1477"/>
      <c r="G24" s="1477"/>
      <c r="H24" s="1477"/>
      <c r="I24" s="1477"/>
      <c r="J24" s="1478"/>
      <c r="K24" s="1034"/>
    </row>
    <row r="25" spans="1:11" ht="15" customHeight="1">
      <c r="A25" s="1031"/>
      <c r="B25" s="1727"/>
      <c r="C25" s="1477"/>
      <c r="D25" s="1477"/>
      <c r="E25" s="1477"/>
      <c r="F25" s="1477"/>
      <c r="G25" s="1477"/>
      <c r="H25" s="1477"/>
      <c r="I25" s="1477"/>
      <c r="J25" s="1478"/>
      <c r="K25" s="1035"/>
    </row>
    <row r="26" spans="1:11" ht="21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</row>
    <row r="27" spans="1:11" ht="27" customHeight="1">
      <c r="A27" s="1031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'1-ABA-DE-CARREGAMENTO'!H33</f>
        <v>2394-25_PSICOPEGAGOGO_20h</v>
      </c>
      <c r="J27" s="1478"/>
      <c r="K27" s="732"/>
    </row>
    <row r="28" spans="1:11" ht="20.25" customHeight="1">
      <c r="A28" s="1031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624" t="str">
        <f>LEFT(I27,7)</f>
        <v>2394-25</v>
      </c>
      <c r="J28" s="1478"/>
      <c r="K28" s="734"/>
    </row>
    <row r="29" spans="1:11" ht="46.5" customHeight="1">
      <c r="A29" s="1031"/>
      <c r="B29" s="696">
        <v>3</v>
      </c>
      <c r="C29" s="1625" t="s">
        <v>336</v>
      </c>
      <c r="D29" s="1468"/>
      <c r="E29" s="1036">
        <v>220</v>
      </c>
      <c r="F29" s="737">
        <f>'1-ABA-DE-CARREGAMENTO'!H37</f>
        <v>5637.96</v>
      </c>
      <c r="G29" s="738" t="s">
        <v>337</v>
      </c>
      <c r="H29" s="739">
        <v>100</v>
      </c>
      <c r="I29" s="1708">
        <f>F29/200*H29</f>
        <v>2818.98</v>
      </c>
      <c r="J29" s="1478"/>
      <c r="K29" s="1037"/>
    </row>
    <row r="30" spans="1:11" ht="13.5" customHeight="1">
      <c r="A30" s="1031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</row>
    <row r="31" spans="1:11" ht="11.25" customHeight="1">
      <c r="A31" s="1031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'1-ABA-DE-CARREGAMENTO'!H36</f>
        <v xml:space="preserve">01 de ABRIL </v>
      </c>
      <c r="J31" s="1478"/>
      <c r="K31" s="742"/>
    </row>
    <row r="32" spans="1:11" ht="12.75" customHeight="1">
      <c r="A32" s="1031"/>
      <c r="B32" s="1038">
        <v>6</v>
      </c>
      <c r="C32" s="1560" t="s">
        <v>951</v>
      </c>
      <c r="D32" s="1477"/>
      <c r="E32" s="1477"/>
      <c r="F32" s="1477"/>
      <c r="G32" s="1477"/>
      <c r="H32" s="1478"/>
      <c r="I32" s="1630">
        <f>F29/E29</f>
        <v>25.62709090909091</v>
      </c>
      <c r="J32" s="1478"/>
      <c r="K32" s="744"/>
    </row>
    <row r="33" spans="1:11" ht="36.75" customHeight="1">
      <c r="A33" s="1031"/>
      <c r="B33" s="1038">
        <v>7</v>
      </c>
      <c r="C33" s="1560" t="s">
        <v>952</v>
      </c>
      <c r="D33" s="1477"/>
      <c r="E33" s="1477"/>
      <c r="F33" s="1478"/>
      <c r="G33" s="1631"/>
      <c r="H33" s="1478"/>
      <c r="I33" s="1632">
        <f>(I32*I50)+I32</f>
        <v>25.62709090909091</v>
      </c>
      <c r="J33" s="1478"/>
      <c r="K33" s="744"/>
    </row>
    <row r="34" spans="1:11" ht="28.5" customHeight="1">
      <c r="A34" s="1031"/>
      <c r="B34" s="1038">
        <v>8</v>
      </c>
      <c r="C34" s="1560" t="s">
        <v>953</v>
      </c>
      <c r="D34" s="1477"/>
      <c r="E34" s="1477"/>
      <c r="F34" s="1478"/>
      <c r="G34" s="1631"/>
      <c r="H34" s="1478"/>
      <c r="I34" s="1630">
        <f t="shared" ref="I34:I35" si="0">I32*1.5</f>
        <v>38.440636363636365</v>
      </c>
      <c r="J34" s="1478"/>
      <c r="K34" s="744"/>
    </row>
    <row r="35" spans="1:11" ht="28.5" customHeight="1">
      <c r="A35" s="1031"/>
      <c r="B35" s="1038">
        <v>9</v>
      </c>
      <c r="C35" s="1560" t="s">
        <v>954</v>
      </c>
      <c r="D35" s="1477"/>
      <c r="E35" s="1477"/>
      <c r="F35" s="1478"/>
      <c r="G35" s="1631" t="s">
        <v>344</v>
      </c>
      <c r="H35" s="1478"/>
      <c r="I35" s="1632">
        <f t="shared" si="0"/>
        <v>38.440636363636365</v>
      </c>
      <c r="J35" s="1478"/>
      <c r="K35" s="1039"/>
    </row>
    <row r="36" spans="1:11" ht="28.5" customHeight="1">
      <c r="A36" s="1031"/>
      <c r="B36" s="1038">
        <v>10</v>
      </c>
      <c r="C36" s="1560" t="s">
        <v>955</v>
      </c>
      <c r="D36" s="1477"/>
      <c r="E36" s="1477"/>
      <c r="F36" s="1477"/>
      <c r="G36" s="1477"/>
      <c r="H36" s="1478"/>
      <c r="I36" s="1642">
        <f>I33*1.2</f>
        <v>30.75250909090909</v>
      </c>
      <c r="J36" s="1478"/>
      <c r="K36" s="744"/>
    </row>
    <row r="37" spans="1:11" ht="28.5" customHeight="1">
      <c r="A37" s="1031"/>
      <c r="B37" s="1038">
        <v>11</v>
      </c>
      <c r="C37" s="1560" t="s">
        <v>956</v>
      </c>
      <c r="D37" s="1477"/>
      <c r="E37" s="1477"/>
      <c r="F37" s="1477"/>
      <c r="G37" s="1477"/>
      <c r="H37" s="1478"/>
      <c r="I37" s="1643">
        <f>I33*2</f>
        <v>51.25418181818182</v>
      </c>
      <c r="J37" s="1478"/>
      <c r="K37" s="744"/>
    </row>
    <row r="38" spans="1:11" ht="14.25" customHeight="1">
      <c r="A38" s="1031"/>
      <c r="B38" s="1038">
        <v>12</v>
      </c>
      <c r="C38" s="1560" t="s">
        <v>957</v>
      </c>
      <c r="D38" s="1477"/>
      <c r="E38" s="1477"/>
      <c r="F38" s="1477"/>
      <c r="G38" s="1477"/>
      <c r="H38" s="1478"/>
      <c r="I38" s="1630">
        <f>I29*'1-ABA-DE-CARREGAMENTO'!D44</f>
        <v>0</v>
      </c>
      <c r="J38" s="1478"/>
      <c r="K38" s="744"/>
    </row>
    <row r="39" spans="1:11" ht="14.25" customHeight="1">
      <c r="A39" s="1031"/>
      <c r="B39" s="1038">
        <v>13</v>
      </c>
      <c r="C39" s="1560" t="s">
        <v>348</v>
      </c>
      <c r="D39" s="1477"/>
      <c r="E39" s="1477"/>
      <c r="F39" s="1477"/>
      <c r="G39" s="1477"/>
      <c r="H39" s="1478"/>
      <c r="I39" s="1630">
        <f>ROUND(I32/6,2)*1.3*0</f>
        <v>0</v>
      </c>
      <c r="J39" s="1478"/>
      <c r="K39" s="744"/>
    </row>
    <row r="40" spans="1:11" ht="35.25" customHeight="1">
      <c r="A40" s="1031"/>
      <c r="B40" s="746">
        <v>14</v>
      </c>
      <c r="C40" s="1646" t="s">
        <v>349</v>
      </c>
      <c r="D40" s="1647"/>
      <c r="E40" s="1647"/>
      <c r="F40" s="1647"/>
      <c r="G40" s="1647"/>
      <c r="H40" s="1648"/>
      <c r="I40" s="1649">
        <f>'1-ABA-DE-CARREGAMENTO'!H93</f>
        <v>1</v>
      </c>
      <c r="J40" s="1650"/>
      <c r="K40" s="1040"/>
    </row>
    <row r="41" spans="1:11" ht="20.25" customHeight="1">
      <c r="A41" s="1031"/>
      <c r="B41" s="1038">
        <v>15</v>
      </c>
      <c r="C41" s="1651" t="s">
        <v>350</v>
      </c>
      <c r="D41" s="1575"/>
      <c r="E41" s="1575"/>
      <c r="F41" s="1575"/>
      <c r="G41" s="1575"/>
      <c r="H41" s="1608"/>
      <c r="I41" s="1714">
        <f>'1-ABA-DE-CARREGAMENTO'!E42</f>
        <v>1621</v>
      </c>
      <c r="J41" s="1478"/>
      <c r="K41" s="749"/>
    </row>
    <row r="42" spans="1:11" ht="11.25" customHeight="1">
      <c r="A42" s="1031"/>
      <c r="B42" s="1618"/>
      <c r="C42" s="1477"/>
      <c r="D42" s="1477"/>
      <c r="E42" s="1477"/>
      <c r="F42" s="1477"/>
      <c r="G42" s="1477"/>
      <c r="H42" s="1477"/>
      <c r="I42" s="1477"/>
      <c r="J42" s="1478"/>
      <c r="K42" s="459"/>
    </row>
    <row r="43" spans="1:11" ht="28.5" customHeight="1">
      <c r="A43" s="1031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</row>
    <row r="44" spans="1:11" ht="14.25" customHeight="1">
      <c r="A44" s="1031"/>
      <c r="B44" s="1728"/>
      <c r="C44" s="1477"/>
      <c r="D44" s="1477"/>
      <c r="E44" s="1477"/>
      <c r="F44" s="1477"/>
      <c r="G44" s="1477"/>
      <c r="H44" s="1477"/>
      <c r="I44" s="1477"/>
      <c r="J44" s="1478"/>
      <c r="K44" s="1041"/>
    </row>
    <row r="45" spans="1:11" ht="28.5" customHeight="1">
      <c r="A45" s="1031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</row>
    <row r="46" spans="1:11" ht="28.5" customHeight="1">
      <c r="A46" s="104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753" t="s">
        <v>355</v>
      </c>
      <c r="K46" s="727"/>
    </row>
    <row r="47" spans="1:11" ht="36.75" customHeight="1">
      <c r="A47" s="1031"/>
      <c r="B47" s="696" t="s">
        <v>312</v>
      </c>
      <c r="C47" s="1577" t="s">
        <v>958</v>
      </c>
      <c r="D47" s="1477"/>
      <c r="E47" s="1477"/>
      <c r="F47" s="1478"/>
      <c r="G47" s="755" t="s">
        <v>52</v>
      </c>
      <c r="H47" s="756">
        <f>'1-ABA-DE-CARREGAMENTO'!H52</f>
        <v>100</v>
      </c>
      <c r="I47" s="755"/>
      <c r="J47" s="758">
        <f>I29*I40</f>
        <v>2818.98</v>
      </c>
      <c r="K47" s="1043"/>
    </row>
    <row r="48" spans="1:11" ht="21.75" customHeight="1">
      <c r="A48" s="1031"/>
      <c r="B48" s="696" t="s">
        <v>314</v>
      </c>
      <c r="C48" s="1577" t="s">
        <v>959</v>
      </c>
      <c r="D48" s="1477"/>
      <c r="E48" s="1477"/>
      <c r="F48" s="1654" t="str">
        <f>'1-ABA-DE-CARREGAMENTO'!H38</f>
        <v>SEM ADICIONAL DE FUNÇÃO</v>
      </c>
      <c r="G48" s="1477"/>
      <c r="H48" s="1478"/>
      <c r="I48" s="994">
        <f>'1-ABA-DE-CARREGAMENTO'!H39</f>
        <v>0</v>
      </c>
      <c r="J48" s="1078">
        <f>(J47*I48)/3</f>
        <v>0</v>
      </c>
      <c r="K48" s="1043"/>
    </row>
    <row r="49" spans="1:18" ht="27" customHeight="1">
      <c r="A49" s="1031"/>
      <c r="B49" s="696" t="s">
        <v>316</v>
      </c>
      <c r="C49" s="1577" t="s">
        <v>960</v>
      </c>
      <c r="D49" s="1477"/>
      <c r="E49" s="1477"/>
      <c r="F49" s="1477"/>
      <c r="G49" s="1477"/>
      <c r="H49" s="1478"/>
      <c r="I49" s="871">
        <f>'1-ABA-DE-CARREGAMENTO'!H44</f>
        <v>0</v>
      </c>
      <c r="J49" s="758">
        <f>ROUND(J47*I49,2)</f>
        <v>0</v>
      </c>
      <c r="K49" s="1074"/>
      <c r="L49" s="2"/>
      <c r="M49" s="2"/>
      <c r="N49" s="2"/>
      <c r="O49" s="2"/>
      <c r="P49" s="2"/>
      <c r="Q49" s="2"/>
      <c r="R49" s="2"/>
    </row>
    <row r="50" spans="1:18" ht="25.5" customHeight="1">
      <c r="A50" s="1031"/>
      <c r="B50" s="696" t="s">
        <v>318</v>
      </c>
      <c r="C50" s="1577" t="s">
        <v>695</v>
      </c>
      <c r="D50" s="1477"/>
      <c r="E50" s="1477"/>
      <c r="F50" s="1477"/>
      <c r="G50" s="1731" t="str">
        <f>'1-ABA-DE-CARREGAMENTO'!H40</f>
        <v>SEM ADICIONAL DE RISCO</v>
      </c>
      <c r="H50" s="1478"/>
      <c r="I50" s="1073">
        <f>'1-ABA-DE-CARREGAMENTO'!H41</f>
        <v>0</v>
      </c>
      <c r="J50" s="758">
        <f>ROUND(I50*I41,2)</f>
        <v>0</v>
      </c>
      <c r="K50" s="1074"/>
      <c r="L50" s="2"/>
      <c r="M50" s="2"/>
      <c r="N50" s="2"/>
      <c r="O50" s="2"/>
      <c r="P50" s="2"/>
      <c r="Q50" s="2"/>
      <c r="R50" s="2"/>
    </row>
    <row r="51" spans="1:18" ht="49.5" hidden="1" customHeight="1" outlineLevel="1">
      <c r="A51" s="1031"/>
      <c r="B51" s="696" t="s">
        <v>360</v>
      </c>
      <c r="C51" s="1573" t="s">
        <v>961</v>
      </c>
      <c r="D51" s="1477"/>
      <c r="E51" s="1478"/>
      <c r="F51" s="807" t="s">
        <v>362</v>
      </c>
      <c r="G51" s="764">
        <v>0</v>
      </c>
      <c r="H51" s="807" t="s">
        <v>363</v>
      </c>
      <c r="I51" s="1044">
        <f>I36</f>
        <v>30.75250909090909</v>
      </c>
      <c r="J51" s="1045">
        <f>G51*I51</f>
        <v>0</v>
      </c>
      <c r="K51" s="1074"/>
      <c r="L51" s="2"/>
      <c r="M51" s="2"/>
      <c r="N51" s="2"/>
      <c r="O51" s="2"/>
      <c r="P51" s="2"/>
      <c r="Q51" s="2"/>
      <c r="R51" s="2"/>
    </row>
    <row r="52" spans="1:18" ht="54.75" hidden="1" customHeight="1" outlineLevel="1">
      <c r="A52" s="1031"/>
      <c r="B52" s="696" t="s">
        <v>364</v>
      </c>
      <c r="C52" s="1656" t="s">
        <v>962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1079"/>
      <c r="L52" s="2"/>
      <c r="M52" s="2"/>
      <c r="N52" s="2"/>
      <c r="O52" s="2"/>
      <c r="P52" s="2"/>
      <c r="Q52" s="2"/>
      <c r="R52" s="2"/>
    </row>
    <row r="53" spans="1:18" ht="31.5" hidden="1" customHeight="1" outlineLevel="1">
      <c r="A53" s="1031"/>
      <c r="B53" s="696" t="s">
        <v>366</v>
      </c>
      <c r="C53" s="1656" t="s">
        <v>963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1074"/>
      <c r="L53" s="2"/>
      <c r="M53" s="2"/>
      <c r="N53" s="2"/>
      <c r="O53" s="2"/>
      <c r="P53" s="2"/>
      <c r="Q53" s="2"/>
      <c r="R53" s="2"/>
    </row>
    <row r="54" spans="1:18" ht="31.5" hidden="1" customHeight="1" outlineLevel="1">
      <c r="A54" s="1031"/>
      <c r="B54" s="696" t="s">
        <v>368</v>
      </c>
      <c r="C54" s="1735" t="s">
        <v>964</v>
      </c>
      <c r="D54" s="1575"/>
      <c r="E54" s="1575"/>
      <c r="F54" s="1080" t="s">
        <v>370</v>
      </c>
      <c r="G54" s="1081">
        <v>0</v>
      </c>
      <c r="H54" s="1080" t="s">
        <v>371</v>
      </c>
      <c r="I54" s="1082">
        <f>I35</f>
        <v>38.440636363636365</v>
      </c>
      <c r="J54" s="1083">
        <f t="shared" ref="J54:J55" si="1">G54*I54</f>
        <v>0</v>
      </c>
      <c r="K54" s="1074"/>
      <c r="L54" s="2"/>
      <c r="M54" s="2"/>
      <c r="N54" s="2"/>
      <c r="O54" s="2"/>
      <c r="P54" s="2"/>
      <c r="Q54" s="2"/>
      <c r="R54" s="2"/>
    </row>
    <row r="55" spans="1:18" ht="31.5" hidden="1" customHeight="1" outlineLevel="1">
      <c r="A55" s="1031"/>
      <c r="B55" s="696" t="s">
        <v>372</v>
      </c>
      <c r="C55" s="1736" t="s">
        <v>965</v>
      </c>
      <c r="D55" s="1419"/>
      <c r="E55" s="1419"/>
      <c r="F55" s="1080" t="s">
        <v>374</v>
      </c>
      <c r="G55" s="1081">
        <v>0</v>
      </c>
      <c r="H55" s="1080" t="s">
        <v>375</v>
      </c>
      <c r="I55" s="1082">
        <f>I37</f>
        <v>51.25418181818182</v>
      </c>
      <c r="J55" s="1084">
        <f t="shared" si="1"/>
        <v>0</v>
      </c>
      <c r="K55" s="1074"/>
      <c r="L55" s="2"/>
      <c r="M55" s="2"/>
      <c r="N55" s="2"/>
      <c r="O55" s="2"/>
      <c r="P55" s="2"/>
      <c r="Q55" s="2"/>
      <c r="R55" s="2"/>
    </row>
    <row r="56" spans="1:18" ht="43.5" hidden="1" customHeight="1" outlineLevel="1">
      <c r="A56" s="1031"/>
      <c r="B56" s="696" t="s">
        <v>880</v>
      </c>
      <c r="C56" s="1732" t="s">
        <v>966</v>
      </c>
      <c r="D56" s="1477"/>
      <c r="E56" s="1477"/>
      <c r="F56" s="1477"/>
      <c r="G56" s="1477"/>
      <c r="H56" s="1477"/>
      <c r="I56" s="1478"/>
      <c r="J56" s="845">
        <f>(J47/220*15*1.5)*0.5*0</f>
        <v>0</v>
      </c>
      <c r="K56" s="1074"/>
      <c r="L56" s="2"/>
      <c r="M56" s="2"/>
      <c r="N56" s="2"/>
      <c r="O56" s="2"/>
      <c r="P56" s="2"/>
      <c r="Q56" s="2"/>
      <c r="R56" s="2"/>
    </row>
    <row r="57" spans="1:18" ht="29.25" customHeight="1" collapsed="1">
      <c r="A57" s="1031"/>
      <c r="B57" s="696" t="s">
        <v>882</v>
      </c>
      <c r="C57" s="1577" t="s">
        <v>967</v>
      </c>
      <c r="D57" s="1477"/>
      <c r="E57" s="1477"/>
      <c r="F57" s="1477"/>
      <c r="G57" s="1477"/>
      <c r="H57" s="1477"/>
      <c r="I57" s="1478"/>
      <c r="J57" s="758">
        <f>J56*0.2</f>
        <v>0</v>
      </c>
      <c r="K57" s="1085"/>
      <c r="L57" s="2"/>
      <c r="M57" s="2"/>
      <c r="N57" s="2"/>
      <c r="O57" s="2"/>
      <c r="P57" s="2"/>
      <c r="Q57" s="2"/>
      <c r="R57" s="2"/>
    </row>
    <row r="58" spans="1:18" ht="26.25" customHeight="1">
      <c r="A58" s="1031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2818.98</v>
      </c>
      <c r="K58" s="1086"/>
      <c r="L58" s="2"/>
      <c r="M58" s="2"/>
      <c r="N58" s="2"/>
      <c r="O58" s="2"/>
      <c r="P58" s="2"/>
      <c r="Q58" s="2"/>
      <c r="R58" s="2"/>
    </row>
    <row r="59" spans="1:18" ht="14.25" customHeight="1">
      <c r="A59" s="1031"/>
      <c r="B59" s="773"/>
      <c r="C59" s="1657"/>
      <c r="D59" s="1477"/>
      <c r="E59" s="1477"/>
      <c r="F59" s="1477"/>
      <c r="G59" s="1477"/>
      <c r="H59" s="1477"/>
      <c r="I59" s="1478"/>
      <c r="J59" s="774"/>
      <c r="K59" s="1086"/>
      <c r="L59" s="2"/>
      <c r="M59" s="2"/>
      <c r="N59" s="2"/>
      <c r="O59" s="2"/>
      <c r="P59" s="2"/>
      <c r="Q59" s="2"/>
      <c r="R59" s="2"/>
    </row>
    <row r="60" spans="1:18" ht="72.75" customHeight="1">
      <c r="A60" s="1031"/>
      <c r="B60" s="696" t="s">
        <v>368</v>
      </c>
      <c r="C60" s="1577" t="s">
        <v>968</v>
      </c>
      <c r="D60" s="1477"/>
      <c r="E60" s="1477"/>
      <c r="F60" s="1477"/>
      <c r="G60" s="1477"/>
      <c r="H60" s="1477"/>
      <c r="I60" s="1478"/>
      <c r="J60" s="1028">
        <f>ROUND(I35*22*I40*0.5,2)*0</f>
        <v>0</v>
      </c>
    </row>
    <row r="61" spans="1:18" ht="29.25" customHeight="1">
      <c r="A61" s="1031"/>
      <c r="B61" s="1572" t="s">
        <v>969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1047"/>
    </row>
    <row r="62" spans="1:18" ht="11.25" customHeight="1">
      <c r="A62" s="1031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</row>
    <row r="63" spans="1:18" ht="44.25" customHeight="1">
      <c r="A63" s="1031"/>
      <c r="B63" s="1578" t="s">
        <v>970</v>
      </c>
      <c r="C63" s="1477"/>
      <c r="D63" s="1477"/>
      <c r="E63" s="1477"/>
      <c r="F63" s="1477"/>
      <c r="G63" s="1477"/>
      <c r="H63" s="1477"/>
      <c r="I63" s="1478"/>
      <c r="J63" s="775">
        <f>J58+J61</f>
        <v>2818.98</v>
      </c>
      <c r="K63" s="776"/>
    </row>
    <row r="64" spans="1:18" ht="11.25" customHeight="1">
      <c r="A64" s="1031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</row>
    <row r="65" spans="1:11" ht="27.75" customHeight="1">
      <c r="A65" s="1031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</row>
    <row r="66" spans="1:11" ht="11.25" customHeight="1">
      <c r="A66" s="1031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</row>
    <row r="67" spans="1:11" ht="28.5" customHeight="1">
      <c r="A67" s="1031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1048"/>
    </row>
    <row r="68" spans="1:11" ht="21.75" customHeight="1">
      <c r="A68" s="1031"/>
      <c r="B68" s="1580" t="s">
        <v>971</v>
      </c>
      <c r="C68" s="1477"/>
      <c r="D68" s="1477"/>
      <c r="E68" s="1477"/>
      <c r="F68" s="1477"/>
      <c r="G68" s="1477"/>
      <c r="H68" s="1477"/>
      <c r="I68" s="1477"/>
      <c r="J68" s="1478"/>
      <c r="K68" s="931"/>
    </row>
    <row r="69" spans="1:11" ht="15" customHeight="1">
      <c r="A69" s="1031"/>
      <c r="B69" s="781" t="s">
        <v>388</v>
      </c>
      <c r="C69" s="1659" t="s">
        <v>972</v>
      </c>
      <c r="D69" s="1477"/>
      <c r="E69" s="1477"/>
      <c r="F69" s="1477"/>
      <c r="G69" s="1477"/>
      <c r="H69" s="1477"/>
      <c r="I69" s="1478"/>
      <c r="J69" s="782" t="s">
        <v>390</v>
      </c>
      <c r="K69" s="783"/>
    </row>
    <row r="70" spans="1:11" ht="27.75" customHeight="1">
      <c r="A70" s="1031"/>
      <c r="B70" s="781" t="s">
        <v>312</v>
      </c>
      <c r="C70" s="1656" t="s">
        <v>973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234.82</v>
      </c>
      <c r="K70" s="786"/>
    </row>
    <row r="71" spans="1:11" ht="55.5" customHeight="1">
      <c r="A71" s="1031"/>
      <c r="B71" s="781" t="s">
        <v>314</v>
      </c>
      <c r="C71" s="1582" t="s">
        <v>974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85.27</v>
      </c>
      <c r="K71" s="786"/>
    </row>
    <row r="72" spans="1:11" ht="11.25" customHeight="1">
      <c r="A72" s="1031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320.08999999999997</v>
      </c>
      <c r="K72" s="1049"/>
    </row>
    <row r="73" spans="1:11" ht="14.25" customHeight="1">
      <c r="A73" s="1031"/>
      <c r="B73" s="1661"/>
      <c r="C73" s="1477"/>
      <c r="D73" s="1477"/>
      <c r="E73" s="1477"/>
      <c r="F73" s="1477"/>
      <c r="G73" s="1477"/>
      <c r="H73" s="1477"/>
      <c r="I73" s="1477"/>
      <c r="J73" s="1478"/>
      <c r="K73" s="1050"/>
    </row>
    <row r="74" spans="1:11" ht="15.75" customHeight="1">
      <c r="A74" s="1031"/>
      <c r="B74" s="1653" t="s">
        <v>975</v>
      </c>
      <c r="C74" s="1477"/>
      <c r="D74" s="1477"/>
      <c r="E74" s="1477"/>
      <c r="F74" s="1477"/>
      <c r="G74" s="1477"/>
      <c r="H74" s="1477"/>
      <c r="I74" s="1477"/>
      <c r="J74" s="1478"/>
      <c r="K74" s="750"/>
    </row>
    <row r="75" spans="1:11" ht="14.25" customHeight="1">
      <c r="A75" s="1031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</row>
    <row r="76" spans="1:11" ht="36" customHeight="1">
      <c r="A76" s="1031"/>
      <c r="B76" s="1663" t="s">
        <v>976</v>
      </c>
      <c r="C76" s="1477"/>
      <c r="D76" s="1477"/>
      <c r="E76" s="1477"/>
      <c r="F76" s="1477"/>
      <c r="G76" s="1477"/>
      <c r="H76" s="1477"/>
      <c r="I76" s="1477"/>
      <c r="J76" s="1478"/>
      <c r="K76" s="780"/>
    </row>
    <row r="77" spans="1:11" ht="26.25" customHeight="1">
      <c r="A77" s="1031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</row>
    <row r="78" spans="1:11" ht="18" customHeight="1">
      <c r="A78" s="1031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627.80999999999995</v>
      </c>
      <c r="K78" s="1049"/>
    </row>
    <row r="79" spans="1:11" ht="18" customHeight="1">
      <c r="A79" s="1031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78.48</v>
      </c>
      <c r="K79" s="1049"/>
    </row>
    <row r="80" spans="1:11" ht="47.25" customHeight="1">
      <c r="A80" s="1031"/>
      <c r="B80" s="794" t="s">
        <v>316</v>
      </c>
      <c r="C80" s="1577" t="s">
        <v>977</v>
      </c>
      <c r="D80" s="1478"/>
      <c r="E80" s="1051" t="s">
        <v>402</v>
      </c>
      <c r="F80" s="1052">
        <f>'1-ABA-DE-CARREGAMENTO'!H57</f>
        <v>0</v>
      </c>
      <c r="G80" s="1051" t="s">
        <v>403</v>
      </c>
      <c r="H80" s="1053">
        <f>'1-ABA-DE-CARREGAMENTO'!H58</f>
        <v>1</v>
      </c>
      <c r="I80" s="799">
        <f>ROUND((F80*H80),6)</f>
        <v>0</v>
      </c>
      <c r="J80" s="796">
        <f>ROUND((J58+J72)*I80,2)</f>
        <v>0</v>
      </c>
      <c r="K80" s="1049"/>
    </row>
    <row r="81" spans="1:11" ht="16.5" customHeight="1">
      <c r="A81" s="1031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47.09</v>
      </c>
      <c r="K81" s="1049"/>
    </row>
    <row r="82" spans="1:11" ht="16.5" customHeight="1">
      <c r="A82" s="1031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31.39</v>
      </c>
      <c r="K82" s="1049"/>
    </row>
    <row r="83" spans="1:11" ht="16.5" customHeight="1">
      <c r="A83" s="1031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18.829999999999998</v>
      </c>
      <c r="K83" s="1049"/>
    </row>
    <row r="84" spans="1:11" ht="16.5" customHeight="1">
      <c r="A84" s="1031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6.28</v>
      </c>
      <c r="K84" s="1049"/>
    </row>
    <row r="85" spans="1:11" ht="28.5" customHeight="1">
      <c r="A85" s="1031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251.13</v>
      </c>
      <c r="K85" s="1049"/>
    </row>
    <row r="86" spans="1:11" ht="12" customHeight="1">
      <c r="A86" s="1031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2">SUM(I78:I85)</f>
        <v>0.33800000000000002</v>
      </c>
      <c r="J86" s="788">
        <f t="shared" si="2"/>
        <v>1061.01</v>
      </c>
      <c r="K86" s="1049"/>
    </row>
    <row r="87" spans="1:11" ht="12" customHeight="1">
      <c r="A87" s="1031"/>
      <c r="B87" s="801"/>
      <c r="C87" s="802"/>
      <c r="D87" s="802"/>
      <c r="E87" s="802"/>
      <c r="F87" s="802"/>
      <c r="G87" s="802"/>
      <c r="H87" s="802"/>
      <c r="I87" s="803"/>
      <c r="J87" s="804"/>
      <c r="K87" s="1049"/>
    </row>
    <row r="88" spans="1:11" ht="34.5" customHeight="1">
      <c r="A88" s="1031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</row>
    <row r="89" spans="1:11" ht="18.75" customHeight="1">
      <c r="A89" s="1031"/>
      <c r="B89" s="1618"/>
      <c r="C89" s="1477"/>
      <c r="D89" s="1477"/>
      <c r="E89" s="1477"/>
      <c r="F89" s="1477"/>
      <c r="G89" s="1477"/>
      <c r="H89" s="1477"/>
      <c r="I89" s="1477"/>
      <c r="J89" s="1478"/>
      <c r="K89" s="459"/>
    </row>
    <row r="90" spans="1:11" ht="15" customHeight="1">
      <c r="A90" s="1031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931"/>
    </row>
    <row r="91" spans="1:11" ht="15" customHeight="1">
      <c r="A91" s="1031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</row>
    <row r="92" spans="1:11" ht="15" customHeight="1">
      <c r="A92" s="1031"/>
      <c r="B92" s="743" t="s">
        <v>312</v>
      </c>
      <c r="C92" s="1577" t="e">
        <f ca="1">IF(F95="o transporte é seletivo", "AUXILIO TRANSPORTE Cálculo do valor: [(n passag dia × vlr passagem × n dias mês ) – (0,06xSB)]", "Transporte Cálculo do valor: [(n passag dia × vlr VT × n dias mês ) – (0,06xSB)]")</f>
        <v>#NAME?</v>
      </c>
      <c r="D92" s="1477"/>
      <c r="E92" s="1477"/>
      <c r="F92" s="1477"/>
      <c r="G92" s="1477"/>
      <c r="H92" s="1478"/>
      <c r="I92" s="807">
        <f>J47</f>
        <v>2818.98</v>
      </c>
      <c r="J92" s="808">
        <f>IF(ROUND((I93*I95*I94)-(J47*I96),2)&lt;0,0,ROUND((I93*I95*I94)-(J47*I96),2))</f>
        <v>110.48</v>
      </c>
      <c r="K92" s="1049"/>
    </row>
    <row r="93" spans="1:11" ht="28.5" customHeight="1">
      <c r="A93" s="1031"/>
      <c r="B93" s="743" t="s">
        <v>314</v>
      </c>
      <c r="C93" s="1577" t="s">
        <v>978</v>
      </c>
      <c r="D93" s="1477"/>
      <c r="E93" s="1477"/>
      <c r="F93" s="1477"/>
      <c r="G93" s="1477"/>
      <c r="H93" s="1477"/>
      <c r="I93" s="809">
        <f>'1-ABA-DE-CARREGAMENTO'!H72</f>
        <v>6.82</v>
      </c>
      <c r="J93" s="810" t="s">
        <v>325</v>
      </c>
      <c r="K93" s="1046"/>
    </row>
    <row r="94" spans="1:11" ht="25.5" customHeight="1">
      <c r="A94" s="1031"/>
      <c r="B94" s="743" t="s">
        <v>316</v>
      </c>
      <c r="C94" s="1577" t="s">
        <v>979</v>
      </c>
      <c r="D94" s="1477"/>
      <c r="E94" s="1477"/>
      <c r="F94" s="1477"/>
      <c r="G94" s="1477"/>
      <c r="H94" s="1478"/>
      <c r="I94" s="811">
        <f>'1-ABA-DE-CARREGAMENTO'!H73</f>
        <v>2</v>
      </c>
      <c r="J94" s="810" t="s">
        <v>325</v>
      </c>
      <c r="K94" s="1046"/>
    </row>
    <row r="95" spans="1:11" ht="19.5" customHeight="1">
      <c r="A95" s="1031"/>
      <c r="B95" s="743" t="s">
        <v>318</v>
      </c>
      <c r="C95" s="1665" t="s">
        <v>415</v>
      </c>
      <c r="D95" s="1477"/>
      <c r="E95" s="1477"/>
      <c r="F95" s="1666" t="e">
        <f ca="1">getNota('1-ABA-DE-CARREGAMENTO'!C14)</f>
        <v>#NAME?</v>
      </c>
      <c r="G95" s="1477"/>
      <c r="H95" s="812">
        <f>I93*I94*I95</f>
        <v>279.62</v>
      </c>
      <c r="I95" s="813">
        <f>'1-ABA-DE-CARREGAMENTO'!H74</f>
        <v>20.5</v>
      </c>
      <c r="J95" s="810" t="s">
        <v>325</v>
      </c>
      <c r="K95" s="1046"/>
    </row>
    <row r="96" spans="1:11" ht="25.5" customHeight="1">
      <c r="A96" s="1031"/>
      <c r="B96" s="743" t="s">
        <v>360</v>
      </c>
      <c r="C96" s="1665" t="s">
        <v>980</v>
      </c>
      <c r="D96" s="1477"/>
      <c r="E96" s="1477"/>
      <c r="F96" s="1477"/>
      <c r="G96" s="1477"/>
      <c r="H96" s="812">
        <f>I96*J47</f>
        <v>169.1388</v>
      </c>
      <c r="I96" s="814">
        <f>'1-ABA-DE-CARREGAMENTO'!H75</f>
        <v>0.06</v>
      </c>
      <c r="J96" s="815" t="s">
        <v>325</v>
      </c>
      <c r="K96" s="1046"/>
    </row>
    <row r="97" spans="1:11" ht="15" customHeight="1">
      <c r="A97" s="1031"/>
      <c r="B97" s="743" t="s">
        <v>364</v>
      </c>
      <c r="C97" s="1577" t="s">
        <v>981</v>
      </c>
      <c r="D97" s="1477"/>
      <c r="E97" s="1477"/>
      <c r="F97" s="1477"/>
      <c r="G97" s="1477"/>
      <c r="H97" s="1477"/>
      <c r="I97" s="1477"/>
      <c r="J97" s="808">
        <f>ROUND(I98*I99,2)-ROUND((I98*I99)*I100,2)</f>
        <v>0</v>
      </c>
      <c r="K97" s="1049"/>
    </row>
    <row r="98" spans="1:11" ht="15" customHeight="1">
      <c r="A98" s="1031"/>
      <c r="B98" s="743" t="s">
        <v>366</v>
      </c>
      <c r="C98" s="1577" t="s">
        <v>982</v>
      </c>
      <c r="D98" s="1477"/>
      <c r="E98" s="1477"/>
      <c r="F98" s="1477"/>
      <c r="G98" s="1477"/>
      <c r="H98" s="1477"/>
      <c r="I98" s="816">
        <f>IF('1-ABA-DE-CARREGAMENTO'!H60&gt;0,'1-ABA-DE-CARREGAMENTO'!H60,'1-ABA-DE-CARREGAMENTO'!H63)</f>
        <v>0</v>
      </c>
      <c r="J98" s="817"/>
      <c r="K98" s="1046"/>
    </row>
    <row r="99" spans="1:11" ht="22.5" customHeight="1">
      <c r="A99" s="1031"/>
      <c r="B99" s="743" t="s">
        <v>368</v>
      </c>
      <c r="C99" s="1665" t="s">
        <v>983</v>
      </c>
      <c r="D99" s="1477"/>
      <c r="E99" s="1477"/>
      <c r="F99" s="1477"/>
      <c r="G99" s="1477"/>
      <c r="H99" s="812">
        <f>I98*I99</f>
        <v>0</v>
      </c>
      <c r="I99" s="818">
        <f>'1-ABA-DE-CARREGAMENTO'!H62</f>
        <v>20.5</v>
      </c>
      <c r="J99" s="817"/>
      <c r="K99" s="1046"/>
    </row>
    <row r="100" spans="1:11" ht="25.5" customHeight="1">
      <c r="A100" s="1031"/>
      <c r="B100" s="794" t="s">
        <v>372</v>
      </c>
      <c r="C100" s="1665" t="s">
        <v>984</v>
      </c>
      <c r="D100" s="1477"/>
      <c r="E100" s="1477"/>
      <c r="F100" s="1477"/>
      <c r="G100" s="1477"/>
      <c r="H100" s="812">
        <f>(I98*I99)*I100</f>
        <v>0</v>
      </c>
      <c r="I100" s="814">
        <f>'1-ABA-DE-CARREGAMENTO'!H61</f>
        <v>0.2</v>
      </c>
      <c r="J100" s="819"/>
      <c r="K100" s="1046"/>
    </row>
    <row r="101" spans="1:11" ht="15" customHeight="1" outlineLevel="1">
      <c r="A101" s="1031"/>
      <c r="B101" s="743" t="s">
        <v>376</v>
      </c>
      <c r="C101" s="1628" t="s">
        <v>901</v>
      </c>
      <c r="D101" s="1575"/>
      <c r="E101" s="1575"/>
      <c r="F101" s="1575"/>
      <c r="G101" s="1575"/>
      <c r="H101" s="1575"/>
      <c r="I101" s="1575"/>
      <c r="J101" s="820">
        <f>'1-ABA-DE-CARREGAMENTO'!H79/12</f>
        <v>0</v>
      </c>
      <c r="K101" s="1049"/>
    </row>
    <row r="102" spans="1:11" ht="34.5" customHeight="1" outlineLevel="1">
      <c r="A102" s="1031"/>
      <c r="B102" s="743" t="s">
        <v>379</v>
      </c>
      <c r="C102" s="1577" t="s">
        <v>985</v>
      </c>
      <c r="D102" s="1477"/>
      <c r="E102" s="1477"/>
      <c r="F102" s="1477"/>
      <c r="G102" s="1477"/>
      <c r="H102" s="1477"/>
      <c r="I102" s="1477"/>
      <c r="J102" s="796">
        <f>'1-ABA-DE-CARREGAMENTO'!H77</f>
        <v>0</v>
      </c>
      <c r="K102" s="1049"/>
    </row>
    <row r="103" spans="1:11" ht="34.5" customHeight="1" outlineLevel="1">
      <c r="A103" s="1031"/>
      <c r="B103" s="743" t="s">
        <v>423</v>
      </c>
      <c r="C103" s="1577" t="s">
        <v>986</v>
      </c>
      <c r="D103" s="1477"/>
      <c r="E103" s="1477"/>
      <c r="F103" s="1477"/>
      <c r="G103" s="1477"/>
      <c r="H103" s="1477"/>
      <c r="I103" s="1478"/>
      <c r="J103" s="796">
        <f>'1-ABA-DE-CARREGAMENTO'!H78</f>
        <v>0</v>
      </c>
      <c r="K103" s="1049"/>
    </row>
    <row r="104" spans="1:11" ht="16.5" customHeight="1" outlineLevel="1">
      <c r="A104" s="1031"/>
      <c r="B104" s="743" t="s">
        <v>425</v>
      </c>
      <c r="C104" s="1577" t="s">
        <v>426</v>
      </c>
      <c r="D104" s="1477"/>
      <c r="E104" s="1477"/>
      <c r="F104" s="1477"/>
      <c r="G104" s="1477"/>
      <c r="H104" s="1477"/>
      <c r="I104" s="1478"/>
      <c r="J104" s="796">
        <f>'1-ABA-DE-CARREGAMENTO'!H76</f>
        <v>0</v>
      </c>
      <c r="K104" s="1049"/>
    </row>
    <row r="105" spans="1:11" ht="16.5">
      <c r="A105" s="1031"/>
      <c r="B105" s="821" t="s">
        <v>53</v>
      </c>
      <c r="C105" s="1715" t="s">
        <v>427</v>
      </c>
      <c r="D105" s="1477"/>
      <c r="E105" s="1521"/>
      <c r="F105" s="1668" t="s">
        <v>428</v>
      </c>
      <c r="G105" s="1477"/>
      <c r="H105" s="1521"/>
      <c r="I105" s="998">
        <v>526.64</v>
      </c>
      <c r="J105" s="999">
        <f>I105*0.2*I17</f>
        <v>105.328</v>
      </c>
      <c r="K105" s="789"/>
    </row>
    <row r="106" spans="1:11" ht="33.75" customHeight="1">
      <c r="A106" s="1031"/>
      <c r="B106" s="823"/>
      <c r="C106" s="1716" t="s">
        <v>429</v>
      </c>
      <c r="D106" s="1477"/>
      <c r="E106" s="1477"/>
      <c r="F106" s="1477"/>
      <c r="G106" s="1477"/>
      <c r="H106" s="1477"/>
      <c r="I106" s="1478"/>
      <c r="J106" s="1000">
        <f>SUM(J92:J105)</f>
        <v>215.80799999999999</v>
      </c>
      <c r="K106" s="1049"/>
    </row>
    <row r="107" spans="1:11" ht="17.25" customHeight="1">
      <c r="A107" s="1031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459"/>
    </row>
    <row r="108" spans="1:11" ht="38.25" customHeight="1">
      <c r="A108" s="1031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</row>
    <row r="109" spans="1:11" ht="19.5" customHeight="1">
      <c r="A109" s="1031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</row>
    <row r="110" spans="1:11" ht="19.5" customHeight="1">
      <c r="A110" s="1031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</row>
    <row r="111" spans="1:11" ht="19.5" customHeight="1">
      <c r="A111" s="1031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793" t="s">
        <v>390</v>
      </c>
      <c r="K111" s="783"/>
    </row>
    <row r="112" spans="1:11" ht="19.5" customHeight="1">
      <c r="A112" s="1031"/>
      <c r="B112" s="733" t="s">
        <v>388</v>
      </c>
      <c r="C112" s="1656" t="s">
        <v>987</v>
      </c>
      <c r="D112" s="1477"/>
      <c r="E112" s="1477"/>
      <c r="F112" s="1477"/>
      <c r="G112" s="1477"/>
      <c r="H112" s="1477"/>
      <c r="I112" s="1478"/>
      <c r="J112" s="824">
        <f>J72</f>
        <v>320.08999999999997</v>
      </c>
      <c r="K112" s="825"/>
    </row>
    <row r="113" spans="1:11" ht="19.5" customHeight="1">
      <c r="A113" s="1031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1061.01</v>
      </c>
      <c r="K113" s="825"/>
    </row>
    <row r="114" spans="1:11" ht="19.5" customHeight="1">
      <c r="A114" s="1031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215.80799999999999</v>
      </c>
      <c r="K114" s="825"/>
    </row>
    <row r="115" spans="1:11" ht="14.25" customHeight="1">
      <c r="A115" s="1031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1596.9079999999999</v>
      </c>
      <c r="K115" s="825"/>
    </row>
    <row r="116" spans="1:11" ht="14.25" customHeight="1">
      <c r="A116" s="1031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</row>
    <row r="117" spans="1:11" ht="18.75" customHeight="1">
      <c r="A117" s="1031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1054"/>
    </row>
    <row r="118" spans="1:11" ht="15.75" customHeight="1">
      <c r="A118" s="1031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805" t="s">
        <v>390</v>
      </c>
      <c r="K118" s="1055"/>
    </row>
    <row r="119" spans="1:11" ht="40.5" customHeight="1">
      <c r="A119" s="1031"/>
      <c r="B119" s="743" t="s">
        <v>312</v>
      </c>
      <c r="C119" s="1577" t="s">
        <v>988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14.06</v>
      </c>
      <c r="K119" s="1049"/>
    </row>
    <row r="120" spans="1:11" ht="15.75" customHeight="1">
      <c r="A120" s="1031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1.1200000000000001</v>
      </c>
      <c r="K120" s="1049"/>
    </row>
    <row r="121" spans="1:11" ht="109.5" customHeight="1">
      <c r="A121" s="1031"/>
      <c r="B121" s="743" t="s">
        <v>316</v>
      </c>
      <c r="C121" s="1672" t="s">
        <v>989</v>
      </c>
      <c r="D121" s="1477"/>
      <c r="E121" s="1477"/>
      <c r="F121" s="1477"/>
      <c r="G121" s="1477"/>
      <c r="H121" s="1477"/>
      <c r="I121" s="830" t="str">
        <f>IF(J121&lt;J58*1.94%,"OK","VERIFIQUE")</f>
        <v>OK</v>
      </c>
      <c r="J121" s="796">
        <f>ROUND(((7/30)/$I$11)*$J$58*1,2)</f>
        <v>21.93</v>
      </c>
      <c r="K121" s="1049"/>
    </row>
    <row r="122" spans="1:11" ht="18.75" customHeight="1">
      <c r="A122" s="1031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7.41</v>
      </c>
      <c r="K122" s="1049"/>
    </row>
    <row r="123" spans="1:11" ht="38.25" customHeight="1">
      <c r="A123" s="1031"/>
      <c r="B123" s="743" t="s">
        <v>360</v>
      </c>
      <c r="C123" s="1577" t="s">
        <v>990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112.76</v>
      </c>
      <c r="K123" s="1049"/>
    </row>
    <row r="124" spans="1:11" ht="19.5" customHeight="1">
      <c r="A124" s="1031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157.28</v>
      </c>
      <c r="K124" s="1049"/>
    </row>
    <row r="125" spans="1:11" ht="15.75" customHeight="1">
      <c r="A125" s="1031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1056"/>
    </row>
    <row r="126" spans="1:11" ht="17.25" customHeight="1">
      <c r="A126" s="1031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</row>
    <row r="127" spans="1:11" ht="42" customHeight="1">
      <c r="A127" s="1031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</row>
    <row r="128" spans="1:11" ht="56.25" customHeight="1">
      <c r="A128" s="1031"/>
      <c r="B128" s="1663" t="s">
        <v>991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</row>
    <row r="129" spans="1:11" ht="43.5" customHeight="1">
      <c r="A129" s="1031"/>
      <c r="B129" s="832" t="s">
        <v>445</v>
      </c>
      <c r="C129" s="833">
        <f>J58</f>
        <v>2818.98</v>
      </c>
      <c r="D129" s="834" t="s">
        <v>446</v>
      </c>
      <c r="E129" s="1002" t="s">
        <v>992</v>
      </c>
      <c r="F129" s="1003">
        <f>J115-J92-J97-J105</f>
        <v>1381.1</v>
      </c>
      <c r="G129" s="834" t="s">
        <v>446</v>
      </c>
      <c r="H129" s="832" t="s">
        <v>448</v>
      </c>
      <c r="I129" s="833">
        <f>J124</f>
        <v>157.28</v>
      </c>
      <c r="J129" s="835">
        <f>C129+F129+I129</f>
        <v>4357.3599999999997</v>
      </c>
      <c r="K129" s="836"/>
    </row>
    <row r="130" spans="1:11" ht="30.75" customHeight="1">
      <c r="A130" s="1031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</row>
    <row r="131" spans="1:11" ht="15.75" customHeight="1">
      <c r="A131" s="1031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</row>
    <row r="132" spans="1:11" ht="17.25" customHeight="1">
      <c r="A132" s="1031"/>
      <c r="B132" s="1057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57" t="s">
        <v>390</v>
      </c>
      <c r="K132" s="1058"/>
    </row>
    <row r="133" spans="1:11" ht="51" customHeight="1">
      <c r="A133" s="1031"/>
      <c r="B133" s="743" t="s">
        <v>312</v>
      </c>
      <c r="C133" s="1656" t="s">
        <v>993</v>
      </c>
      <c r="D133" s="1477"/>
      <c r="E133" s="1477"/>
      <c r="F133" s="1477"/>
      <c r="G133" s="1477"/>
      <c r="H133" s="840">
        <v>9.0749999999999997E-2</v>
      </c>
      <c r="I133" s="1004">
        <f>I86</f>
        <v>0.33800000000000002</v>
      </c>
      <c r="J133" s="796">
        <f>IF('1-ABA-DE-CARREGAMENTO'!H81="S",(ROUND(H133*J58,2)*(1+I133)),IF('1-ABA-DE-CARREGAMENTO'!H81="N",0,"INFORME S ou N"))</f>
        <v>0</v>
      </c>
      <c r="K133" s="1049"/>
    </row>
    <row r="134" spans="1:11" ht="17.25" customHeight="1">
      <c r="A134" s="1031"/>
      <c r="B134" s="743" t="s">
        <v>314</v>
      </c>
      <c r="C134" s="1577" t="s">
        <v>994</v>
      </c>
      <c r="D134" s="1477"/>
      <c r="E134" s="1477"/>
      <c r="F134" s="1477"/>
      <c r="G134" s="1477"/>
      <c r="H134" s="1477"/>
      <c r="I134" s="1478"/>
      <c r="J134" s="796">
        <f>ROUND((1/30)/12*(J129),2)</f>
        <v>12.1</v>
      </c>
      <c r="K134" s="1049"/>
    </row>
    <row r="135" spans="1:11" ht="29.25" customHeight="1">
      <c r="A135" s="1031"/>
      <c r="B135" s="743" t="s">
        <v>316</v>
      </c>
      <c r="C135" s="1577" t="s">
        <v>995</v>
      </c>
      <c r="D135" s="1477"/>
      <c r="E135" s="1477"/>
      <c r="F135" s="1477"/>
      <c r="G135" s="1477"/>
      <c r="H135" s="1477"/>
      <c r="I135" s="1478"/>
      <c r="J135" s="796">
        <f>ROUND((5/30)/12*0.015*(J129),2)</f>
        <v>0.91</v>
      </c>
      <c r="K135" s="1049"/>
    </row>
    <row r="136" spans="1:11" ht="28.5" customHeight="1">
      <c r="A136" s="1031"/>
      <c r="B136" s="743" t="s">
        <v>318</v>
      </c>
      <c r="C136" s="1577" t="s">
        <v>996</v>
      </c>
      <c r="D136" s="1477"/>
      <c r="E136" s="1477"/>
      <c r="F136" s="1477"/>
      <c r="G136" s="1477"/>
      <c r="H136" s="1477"/>
      <c r="I136" s="1478"/>
      <c r="J136" s="796">
        <f>ROUND(((15/30)/12)*0.0078*(J129),2)</f>
        <v>1.42</v>
      </c>
      <c r="K136" s="1049"/>
    </row>
    <row r="137" spans="1:11" ht="30.75" customHeight="1">
      <c r="A137" s="1031"/>
      <c r="B137" s="843" t="s">
        <v>360</v>
      </c>
      <c r="C137" s="1676" t="s">
        <v>997</v>
      </c>
      <c r="D137" s="1477"/>
      <c r="E137" s="1477"/>
      <c r="F137" s="1477"/>
      <c r="G137" s="1477"/>
      <c r="H137" s="1477"/>
      <c r="I137" s="1478"/>
      <c r="J137" s="844">
        <f>ROUND(((((C129+C129/3)+(I86)*(C129+C129/3))*(4/12))/12)*0.02,2) + ((J106-J92-J97-J105+J124)*4/12)*0.02</f>
        <v>3.8385333333333334</v>
      </c>
      <c r="K137" s="1059"/>
    </row>
    <row r="138" spans="1:11" ht="49.5" customHeight="1">
      <c r="A138" s="1031"/>
      <c r="B138" s="743" t="s">
        <v>364</v>
      </c>
      <c r="C138" s="1577" t="s">
        <v>998</v>
      </c>
      <c r="D138" s="1477"/>
      <c r="E138" s="1477"/>
      <c r="F138" s="1477"/>
      <c r="G138" s="1477"/>
      <c r="H138" s="1477"/>
      <c r="I138" s="1478"/>
      <c r="J138" s="796">
        <f>ROUND(((3/30)/12)*(J129),2)</f>
        <v>36.31</v>
      </c>
      <c r="K138" s="1049"/>
    </row>
    <row r="139" spans="1:11" ht="19.5" customHeight="1">
      <c r="A139" s="1031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54.57853333333334</v>
      </c>
      <c r="K139" s="1049"/>
    </row>
    <row r="140" spans="1:11" ht="19.5" customHeight="1">
      <c r="A140" s="1031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1056"/>
    </row>
    <row r="141" spans="1:11" ht="19.5" customHeight="1">
      <c r="A141" s="1031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931"/>
    </row>
    <row r="142" spans="1:11" ht="19.5" customHeight="1">
      <c r="A142" s="1031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1060"/>
    </row>
    <row r="143" spans="1:11" ht="19.5" customHeight="1">
      <c r="A143" s="1031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1061"/>
    </row>
    <row r="144" spans="1:11" ht="19.5" customHeight="1">
      <c r="A144" s="1031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1061"/>
    </row>
    <row r="145" spans="1:11" ht="19.5" customHeight="1">
      <c r="A145" s="1031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1062"/>
    </row>
    <row r="146" spans="1:11" ht="19.5" customHeight="1">
      <c r="A146" s="1031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1048"/>
    </row>
    <row r="147" spans="1:11" ht="19.5" customHeight="1">
      <c r="A147" s="1031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1060"/>
    </row>
    <row r="148" spans="1:11" ht="28.5" customHeight="1">
      <c r="A148" s="1031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54.57853333333334</v>
      </c>
      <c r="K148" s="1061"/>
    </row>
    <row r="149" spans="1:11" ht="24" customHeight="1">
      <c r="A149" s="1031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1061"/>
    </row>
    <row r="150" spans="1:11" ht="24" customHeight="1">
      <c r="A150" s="1031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54.57853333333334</v>
      </c>
      <c r="K150" s="1061"/>
    </row>
    <row r="151" spans="1:11" ht="15.75" customHeight="1">
      <c r="A151" s="1031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1062"/>
    </row>
    <row r="152" spans="1:11" ht="15.75" customHeight="1">
      <c r="A152" s="1031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</row>
    <row r="153" spans="1:11" ht="15.75" customHeight="1">
      <c r="A153" s="1031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805" t="s">
        <v>390</v>
      </c>
      <c r="K153" s="1055"/>
    </row>
    <row r="154" spans="1:11" ht="17.25" customHeight="1">
      <c r="A154" s="1031"/>
      <c r="B154" s="743" t="s">
        <v>312</v>
      </c>
      <c r="C154" s="1577" t="s">
        <v>296</v>
      </c>
      <c r="D154" s="1477"/>
      <c r="E154" s="1477"/>
      <c r="F154" s="1477"/>
      <c r="G154" s="1477"/>
      <c r="H154" s="1477"/>
      <c r="I154" s="1478"/>
      <c r="J154" s="853">
        <f>'Uniformes - EPIs_TODOS'!I9</f>
        <v>1.7210000000000001</v>
      </c>
      <c r="K154" s="1049"/>
    </row>
    <row r="155" spans="1:11" ht="15.75" customHeight="1">
      <c r="A155" s="1031"/>
      <c r="B155" s="743" t="s">
        <v>314</v>
      </c>
      <c r="C155" s="1577" t="s">
        <v>639</v>
      </c>
      <c r="D155" s="1477"/>
      <c r="E155" s="1477"/>
      <c r="F155" s="1477"/>
      <c r="G155" s="1477"/>
      <c r="H155" s="1477"/>
      <c r="I155" s="1478"/>
      <c r="J155" s="881">
        <v>0</v>
      </c>
      <c r="K155" s="789"/>
    </row>
    <row r="156" spans="1:11" ht="15.75" customHeight="1">
      <c r="A156" s="1031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81" t="s">
        <v>640</v>
      </c>
      <c r="K156" s="789"/>
    </row>
    <row r="157" spans="1:11" ht="19.5" customHeight="1">
      <c r="A157" s="1031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1.72</v>
      </c>
      <c r="K157" s="789"/>
    </row>
    <row r="158" spans="1:11" ht="15.75" customHeight="1">
      <c r="A158" s="1031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1063"/>
    </row>
    <row r="159" spans="1:11" ht="27.75" customHeight="1">
      <c r="A159" s="1031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52"/>
    </row>
    <row r="160" spans="1:11" ht="19.5" customHeight="1">
      <c r="A160" s="1031"/>
      <c r="B160" s="859"/>
      <c r="C160" s="860"/>
      <c r="D160" s="860"/>
      <c r="E160" s="860"/>
      <c r="F160" s="860"/>
      <c r="G160" s="860"/>
      <c r="H160" s="860"/>
      <c r="I160" s="860"/>
      <c r="J160" s="861"/>
      <c r="K160" s="315"/>
    </row>
    <row r="161" spans="1:11" ht="24" customHeight="1">
      <c r="A161" s="1031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1054"/>
    </row>
    <row r="162" spans="1:11" ht="30" customHeight="1">
      <c r="A162" s="1031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</row>
    <row r="163" spans="1:11" ht="54" customHeight="1">
      <c r="A163" s="1031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1009">
        <f>SUM(J63+J115+J124+J150+J157)</f>
        <v>4629.4665333333332</v>
      </c>
      <c r="K163" s="1064"/>
    </row>
    <row r="164" spans="1:11" ht="27.75" customHeight="1">
      <c r="A164" s="1031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'1-ABA-DE-CARREGAMENTO'!H85</f>
        <v>0.06</v>
      </c>
      <c r="J164" s="1010">
        <f>ROUND(I164*(J163),2)</f>
        <v>277.77</v>
      </c>
      <c r="K164" s="1049"/>
    </row>
    <row r="165" spans="1:11" ht="54" customHeight="1">
      <c r="A165" s="1031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1009">
        <f>SUM(J63+J115+J124+J150+J157+J164)</f>
        <v>4907.2365333333328</v>
      </c>
      <c r="K165" s="1064"/>
    </row>
    <row r="166" spans="1:11" ht="19.5" customHeight="1">
      <c r="A166" s="1031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'1-ABA-DE-CARREGAMENTO'!H86</f>
        <v>0.06</v>
      </c>
      <c r="J166" s="1010">
        <f>ROUND(I166*J165,2)</f>
        <v>294.43</v>
      </c>
      <c r="K166" s="1049"/>
    </row>
    <row r="167" spans="1:11" ht="54.75" customHeight="1">
      <c r="A167" s="1031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1009">
        <f>SUM(J163+J164+J166)</f>
        <v>5201.6665333333331</v>
      </c>
      <c r="K167" s="1064"/>
    </row>
    <row r="168" spans="1:11" ht="18.75" customHeight="1">
      <c r="A168" s="1031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1011" t="s">
        <v>325</v>
      </c>
      <c r="K168" s="1046"/>
    </row>
    <row r="169" spans="1:11" ht="30" customHeight="1">
      <c r="A169" s="1031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1011" t="s">
        <v>325</v>
      </c>
      <c r="K169" s="1046"/>
    </row>
    <row r="170" spans="1:11" ht="21.75" customHeight="1">
      <c r="A170" s="1031"/>
      <c r="B170" s="743"/>
      <c r="C170" s="1590" t="s">
        <v>999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010">
        <f t="shared" ref="J170:J171" si="3">ROUND(($J$167/(1-$I$179))*I170,2)</f>
        <v>96.71</v>
      </c>
      <c r="K170" s="1065"/>
    </row>
    <row r="171" spans="1:11" ht="21.75" customHeight="1">
      <c r="A171" s="1031"/>
      <c r="B171" s="743"/>
      <c r="C171" s="1590" t="s">
        <v>1000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010">
        <f t="shared" si="3"/>
        <v>445.44</v>
      </c>
      <c r="K171" s="1065"/>
    </row>
    <row r="172" spans="1:11" ht="27" customHeight="1">
      <c r="A172" s="1031"/>
      <c r="B172" s="743"/>
      <c r="C172" s="1577" t="s">
        <v>1001</v>
      </c>
      <c r="D172" s="1477"/>
      <c r="E172" s="1477"/>
      <c r="F172" s="1477"/>
      <c r="G172" s="1477"/>
      <c r="H172" s="1478"/>
      <c r="I172" s="872" t="s">
        <v>325</v>
      </c>
      <c r="J172" s="1011" t="s">
        <v>325</v>
      </c>
      <c r="K172" s="1046"/>
    </row>
    <row r="173" spans="1:11" ht="27" customHeight="1">
      <c r="A173" s="1031"/>
      <c r="B173" s="743"/>
      <c r="C173" s="1577" t="s">
        <v>1002</v>
      </c>
      <c r="D173" s="1477"/>
      <c r="E173" s="1477"/>
      <c r="F173" s="1477"/>
      <c r="G173" s="1477"/>
      <c r="H173" s="1478"/>
      <c r="I173" s="872" t="s">
        <v>325</v>
      </c>
      <c r="J173" s="1011" t="s">
        <v>325</v>
      </c>
      <c r="K173" s="1046"/>
    </row>
    <row r="174" spans="1:11" ht="15.75" customHeight="1">
      <c r="A174" s="1031"/>
      <c r="B174" s="743"/>
      <c r="C174" s="1577" t="s">
        <v>483</v>
      </c>
      <c r="D174" s="1477"/>
      <c r="E174" s="1477"/>
      <c r="F174" s="1477"/>
      <c r="G174" s="1477"/>
      <c r="H174" s="1477"/>
      <c r="I174" s="1066" t="s">
        <v>325</v>
      </c>
      <c r="J174" s="1011" t="s">
        <v>325</v>
      </c>
      <c r="K174" s="1067"/>
    </row>
    <row r="175" spans="1:11" ht="15.75" customHeight="1">
      <c r="A175" s="1031"/>
      <c r="B175" s="743"/>
      <c r="C175" s="1577" t="s">
        <v>484</v>
      </c>
      <c r="D175" s="1477"/>
      <c r="E175" s="1477"/>
      <c r="F175" s="1477"/>
      <c r="G175" s="1477"/>
      <c r="H175" s="1477"/>
      <c r="I175" s="1066" t="s">
        <v>325</v>
      </c>
      <c r="J175" s="1011" t="s">
        <v>325</v>
      </c>
      <c r="K175" s="1067"/>
    </row>
    <row r="176" spans="1:11" ht="15.75" customHeight="1">
      <c r="A176" s="1031"/>
      <c r="B176" s="743"/>
      <c r="C176" s="1577" t="s">
        <v>1003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010">
        <f>ROUND(($J$167/(1-$I$179))*I176,2)</f>
        <v>117.22</v>
      </c>
      <c r="K176" s="1065"/>
    </row>
    <row r="177" spans="1:11" ht="15.75" customHeight="1">
      <c r="A177" s="1031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1000">
        <f>SUM(J164+J166+J170+J171+J176)</f>
        <v>1231.5700000000002</v>
      </c>
      <c r="K177" s="1049"/>
    </row>
    <row r="178" spans="1:11" ht="15.75" customHeight="1">
      <c r="A178" s="1031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1056"/>
    </row>
    <row r="179" spans="1:11" ht="15.75" customHeight="1">
      <c r="A179" s="1031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4">SUM(I170:I176)</f>
        <v>0.1125</v>
      </c>
      <c r="J179" s="866">
        <f t="shared" si="4"/>
        <v>659.37</v>
      </c>
      <c r="K179" s="1064"/>
    </row>
    <row r="180" spans="1:11" ht="15.75" customHeight="1">
      <c r="A180" s="1031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5"/>
    </row>
    <row r="181" spans="1:11" ht="15.75" customHeight="1">
      <c r="A181" s="1031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7"/>
    </row>
    <row r="182" spans="1:11" ht="15.75" customHeight="1">
      <c r="A182" s="1031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5"/>
    </row>
    <row r="183" spans="1:11" ht="10.5" customHeight="1">
      <c r="A183" s="1031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1068"/>
    </row>
    <row r="184" spans="1:11" ht="24" customHeight="1">
      <c r="A184" s="1031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</row>
    <row r="185" spans="1:11" ht="9" customHeight="1">
      <c r="A185" s="1031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1056"/>
    </row>
    <row r="186" spans="1:11" ht="15.75" customHeight="1">
      <c r="A186" s="1031"/>
      <c r="B186" s="1674" t="s">
        <v>1004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</row>
    <row r="187" spans="1:11" ht="15.75" customHeight="1">
      <c r="A187" s="1031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863" t="s">
        <v>390</v>
      </c>
      <c r="K187" s="697"/>
    </row>
    <row r="188" spans="1:11" ht="15.75" customHeight="1">
      <c r="A188" s="1031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2818.98</v>
      </c>
      <c r="K188" s="789"/>
    </row>
    <row r="189" spans="1:11" ht="15.75" customHeight="1">
      <c r="A189" s="1031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1596.9079999999999</v>
      </c>
      <c r="K189" s="789"/>
    </row>
    <row r="190" spans="1:11" ht="15.75" customHeight="1">
      <c r="A190" s="1031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157.28</v>
      </c>
      <c r="K190" s="789"/>
    </row>
    <row r="191" spans="1:11" ht="15.75" customHeight="1">
      <c r="A191" s="1031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54.57853333333334</v>
      </c>
      <c r="K191" s="789"/>
    </row>
    <row r="192" spans="1:11" ht="15.75" customHeight="1">
      <c r="A192" s="1031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1.72</v>
      </c>
      <c r="K192" s="789"/>
    </row>
    <row r="193" spans="1:12" ht="15.75" customHeight="1">
      <c r="A193" s="1031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4629.47</v>
      </c>
      <c r="K193" s="789"/>
    </row>
    <row r="194" spans="1:12" ht="15.75" customHeight="1">
      <c r="A194" s="1031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1231.5700000000002</v>
      </c>
      <c r="K194" s="789"/>
    </row>
    <row r="195" spans="1:12" ht="15.75" customHeight="1">
      <c r="A195" s="1031"/>
      <c r="B195" s="1600" t="s">
        <v>647</v>
      </c>
      <c r="C195" s="1477"/>
      <c r="D195" s="1477"/>
      <c r="E195" s="1477"/>
      <c r="F195" s="1477"/>
      <c r="G195" s="1477"/>
      <c r="H195" s="1477"/>
      <c r="I195" s="1521"/>
      <c r="J195" s="857">
        <f>J193+J194</f>
        <v>5861.0400000000009</v>
      </c>
      <c r="K195" s="789"/>
    </row>
    <row r="196" spans="1:12" ht="36.75" customHeight="1">
      <c r="A196" s="1031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</row>
    <row r="197" spans="1:12" ht="9" customHeight="1">
      <c r="A197" s="1031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</row>
    <row r="198" spans="1:12" ht="15.75" customHeight="1">
      <c r="A198" s="1031"/>
      <c r="B198" s="885"/>
      <c r="C198" s="723"/>
      <c r="D198" s="723"/>
      <c r="E198" s="723"/>
      <c r="F198" s="723"/>
      <c r="G198" s="723"/>
      <c r="H198" s="723"/>
      <c r="I198" s="1069"/>
      <c r="J198" s="1070"/>
      <c r="K198" s="1069"/>
    </row>
    <row r="199" spans="1:12" ht="15.75" customHeight="1">
      <c r="A199" s="1031"/>
      <c r="B199" s="1693" t="s">
        <v>502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</row>
    <row r="200" spans="1:12" ht="55.5" customHeight="1">
      <c r="A200" s="1031"/>
      <c r="B200" s="1641" t="s">
        <v>503</v>
      </c>
      <c r="C200" s="1477"/>
      <c r="D200" s="1477"/>
      <c r="E200" s="1478"/>
      <c r="F200" s="889" t="s">
        <v>648</v>
      </c>
      <c r="G200" s="890"/>
      <c r="H200" s="891" t="s">
        <v>506</v>
      </c>
      <c r="I200" s="1641" t="s">
        <v>507</v>
      </c>
      <c r="J200" s="1478"/>
      <c r="K200" s="697"/>
    </row>
    <row r="201" spans="1:12" ht="36" hidden="1" customHeight="1" outlineLevel="1">
      <c r="A201" s="1031"/>
      <c r="B201" s="1577" t="s">
        <v>508</v>
      </c>
      <c r="C201" s="1477"/>
      <c r="D201" s="1477"/>
      <c r="E201" s="1478"/>
      <c r="F201" s="1694">
        <v>0</v>
      </c>
      <c r="G201" s="1478"/>
      <c r="H201" s="892">
        <f t="shared" ref="H201:H202" si="5">E201*F201</f>
        <v>0</v>
      </c>
      <c r="I201" s="1694">
        <f t="shared" ref="I201:I202" si="6">F201*H201</f>
        <v>0</v>
      </c>
      <c r="J201" s="1478"/>
      <c r="K201" s="770"/>
    </row>
    <row r="202" spans="1:12" ht="36" hidden="1" customHeight="1" outlineLevel="1">
      <c r="A202" s="1031"/>
      <c r="B202" s="1577" t="s">
        <v>509</v>
      </c>
      <c r="C202" s="1477"/>
      <c r="D202" s="1477"/>
      <c r="E202" s="1478"/>
      <c r="F202" s="1694">
        <v>0</v>
      </c>
      <c r="G202" s="1478"/>
      <c r="H202" s="893">
        <f t="shared" si="5"/>
        <v>0</v>
      </c>
      <c r="I202" s="1694">
        <f t="shared" si="6"/>
        <v>0</v>
      </c>
      <c r="J202" s="1478"/>
      <c r="K202" s="770"/>
    </row>
    <row r="203" spans="1:12" ht="36" customHeight="1" collapsed="1">
      <c r="A203" s="1031"/>
      <c r="B203" s="1609" t="str">
        <f>B3</f>
        <v>2394-25_PSICOPEGAGOGO_20h</v>
      </c>
      <c r="C203" s="1477"/>
      <c r="D203" s="1477"/>
      <c r="E203" s="1478"/>
      <c r="F203" s="894">
        <f>J195</f>
        <v>5861.0400000000009</v>
      </c>
      <c r="G203" s="895">
        <f>I40</f>
        <v>1</v>
      </c>
      <c r="H203" s="1071"/>
      <c r="I203" s="1695">
        <f>F203*G203</f>
        <v>5861.0400000000009</v>
      </c>
      <c r="J203" s="1478"/>
      <c r="K203" s="897" t="s">
        <v>510</v>
      </c>
      <c r="L203" s="897" t="str">
        <f>B3</f>
        <v>2394-25_PSICOPEGAGOGO_20h</v>
      </c>
    </row>
    <row r="204" spans="1:12" ht="36" hidden="1" customHeight="1" outlineLevel="1">
      <c r="A204" s="1031"/>
      <c r="B204" s="1577" t="s">
        <v>511</v>
      </c>
      <c r="C204" s="1477"/>
      <c r="D204" s="1477"/>
      <c r="E204" s="1478"/>
      <c r="F204" s="1696">
        <v>0</v>
      </c>
      <c r="G204" s="1478"/>
      <c r="H204" s="898">
        <f t="shared" ref="H204:I204" si="7">E204*G204</f>
        <v>0</v>
      </c>
      <c r="I204" s="1696">
        <f t="shared" si="7"/>
        <v>0</v>
      </c>
      <c r="J204" s="1478"/>
      <c r="K204" s="770"/>
      <c r="L204" s="770"/>
    </row>
    <row r="205" spans="1:12" ht="36" hidden="1" customHeight="1" outlineLevel="1">
      <c r="A205" s="1031"/>
      <c r="B205" s="1577" t="s">
        <v>512</v>
      </c>
      <c r="C205" s="1477"/>
      <c r="D205" s="1477"/>
      <c r="E205" s="1478"/>
      <c r="F205" s="1696">
        <v>0</v>
      </c>
      <c r="G205" s="1478"/>
      <c r="H205" s="898">
        <f t="shared" ref="H205:I205" si="8">E205*G205</f>
        <v>0</v>
      </c>
      <c r="I205" s="1696">
        <f t="shared" si="8"/>
        <v>0</v>
      </c>
      <c r="J205" s="1478"/>
      <c r="K205" s="770"/>
      <c r="L205" s="770"/>
    </row>
    <row r="206" spans="1:12" ht="15.75" hidden="1" customHeight="1" outlineLevel="1">
      <c r="A206" s="1031"/>
      <c r="B206" s="1730" t="s">
        <v>1005</v>
      </c>
      <c r="C206" s="1477"/>
      <c r="D206" s="1477"/>
      <c r="E206" s="1478"/>
      <c r="F206" s="1694">
        <v>0</v>
      </c>
      <c r="G206" s="1478"/>
      <c r="H206" s="898">
        <f t="shared" ref="H206:I206" si="9">E206*G206</f>
        <v>0</v>
      </c>
      <c r="I206" s="1696">
        <f t="shared" si="9"/>
        <v>0</v>
      </c>
      <c r="J206" s="1478"/>
      <c r="K206" s="770"/>
      <c r="L206" s="770"/>
    </row>
    <row r="207" spans="1:12" ht="27.75" customHeight="1" collapsed="1">
      <c r="A207" s="1031"/>
      <c r="B207" s="1699" t="s">
        <v>514</v>
      </c>
      <c r="C207" s="1477"/>
      <c r="D207" s="1477"/>
      <c r="E207" s="1477"/>
      <c r="F207" s="1477"/>
      <c r="G207" s="1478"/>
      <c r="H207" s="899">
        <f>I17</f>
        <v>1</v>
      </c>
      <c r="I207" s="1697">
        <f>H207*I203</f>
        <v>5861.0400000000009</v>
      </c>
      <c r="J207" s="1478"/>
      <c r="K207" s="900"/>
      <c r="L207" s="900"/>
    </row>
    <row r="208" spans="1:12" ht="9" customHeight="1">
      <c r="A208" s="1031"/>
      <c r="B208" s="1723"/>
      <c r="C208" s="1705"/>
      <c r="D208" s="1705"/>
      <c r="E208" s="1705"/>
      <c r="F208" s="1705"/>
      <c r="G208" s="1705"/>
      <c r="H208" s="1705"/>
      <c r="I208" s="1705"/>
      <c r="J208" s="1706"/>
      <c r="K208" s="777"/>
      <c r="L208" s="777"/>
    </row>
    <row r="209" spans="1:12" ht="15.75" customHeight="1">
      <c r="A209" s="1031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  <c r="L209" s="730"/>
    </row>
    <row r="210" spans="1:12" ht="6" customHeight="1">
      <c r="A210" s="1031"/>
      <c r="B210" s="1724"/>
      <c r="C210" s="1477"/>
      <c r="D210" s="1477"/>
      <c r="E210" s="1477"/>
      <c r="F210" s="1477"/>
      <c r="G210" s="1477"/>
      <c r="H210" s="1477"/>
      <c r="I210" s="1477"/>
      <c r="J210" s="1478"/>
      <c r="K210" s="723"/>
      <c r="L210" s="723"/>
    </row>
    <row r="211" spans="1:12" ht="15.75" customHeight="1">
      <c r="A211" s="1031"/>
      <c r="B211" s="1563" t="s">
        <v>516</v>
      </c>
      <c r="C211" s="1477"/>
      <c r="D211" s="1477"/>
      <c r="E211" s="1477"/>
      <c r="F211" s="1477"/>
      <c r="G211" s="1478"/>
      <c r="H211" s="1564">
        <f>$I$207</f>
        <v>5861.0400000000009</v>
      </c>
      <c r="I211" s="1477"/>
      <c r="J211" s="1478"/>
      <c r="K211" s="901"/>
      <c r="L211" s="901"/>
    </row>
    <row r="212" spans="1:12" ht="6" customHeight="1">
      <c r="A212" s="1031"/>
      <c r="B212" s="1725"/>
      <c r="C212" s="1528"/>
      <c r="D212" s="1528"/>
      <c r="E212" s="1528"/>
      <c r="F212" s="1528"/>
      <c r="G212" s="1528"/>
      <c r="H212" s="1528"/>
      <c r="I212" s="1528"/>
      <c r="J212" s="1566"/>
      <c r="K212" s="858"/>
      <c r="L212" s="858"/>
    </row>
    <row r="213" spans="1:12" ht="15.75" customHeight="1">
      <c r="A213" s="1031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  <c r="L213" s="902"/>
    </row>
    <row r="214" spans="1:12" ht="6" customHeight="1">
      <c r="A214" s="1031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  <c r="L214" s="903"/>
    </row>
    <row r="215" spans="1:12" ht="15.75" customHeight="1">
      <c r="A215" s="1031"/>
      <c r="B215" s="1563" t="s">
        <v>1006</v>
      </c>
      <c r="C215" s="1477"/>
      <c r="D215" s="1477"/>
      <c r="E215" s="1477"/>
      <c r="F215" s="1477"/>
      <c r="G215" s="1478"/>
      <c r="H215" s="1569">
        <f>ROUND(H211*H213,2)</f>
        <v>175831.2</v>
      </c>
      <c r="I215" s="1477"/>
      <c r="J215" s="1478"/>
      <c r="K215" s="901"/>
      <c r="L215" s="901"/>
    </row>
    <row r="216" spans="1:12" ht="6" customHeight="1">
      <c r="A216" s="1031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  <c r="L216" s="723"/>
    </row>
    <row r="217" spans="1:12" ht="15.75" customHeight="1">
      <c r="A217" s="1031"/>
      <c r="B217" s="1031"/>
      <c r="C217" s="1031"/>
      <c r="D217" s="1031"/>
      <c r="E217" s="1031"/>
      <c r="F217" s="1031"/>
      <c r="G217" s="1031"/>
      <c r="H217" s="1031"/>
      <c r="I217" s="1031"/>
      <c r="J217" s="1031"/>
      <c r="K217" s="718"/>
      <c r="L217" s="718"/>
    </row>
    <row r="218" spans="1:12" ht="21.75" customHeight="1">
      <c r="B218" s="1031"/>
      <c r="C218" s="1031"/>
      <c r="D218" s="1031"/>
      <c r="E218" s="1031"/>
      <c r="F218" s="1031"/>
      <c r="G218" s="1031"/>
      <c r="H218" s="1031"/>
      <c r="I218" s="1031"/>
      <c r="J218" s="1031"/>
      <c r="K218" s="904"/>
      <c r="L218" s="904"/>
    </row>
    <row r="219" spans="1:12" ht="42" hidden="1" customHeight="1" outlineLevel="1">
      <c r="B219" s="905" t="s">
        <v>1007</v>
      </c>
      <c r="C219" s="906"/>
      <c r="D219" s="906"/>
      <c r="E219" s="906"/>
      <c r="F219" s="906"/>
      <c r="G219" s="907" t="str">
        <f>B3</f>
        <v>2394-25_PSICOPEGAGOGO_20h</v>
      </c>
      <c r="H219" s="906"/>
      <c r="I219" s="906"/>
      <c r="J219" s="906"/>
      <c r="K219" s="904"/>
      <c r="L219" s="904"/>
    </row>
    <row r="220" spans="1:12" ht="15.75" hidden="1" customHeight="1" outlineLevel="1">
      <c r="B220" s="1571" t="s">
        <v>352</v>
      </c>
      <c r="C220" s="1477"/>
      <c r="D220" s="1477"/>
      <c r="E220" s="1477"/>
      <c r="F220" s="1477"/>
      <c r="G220" s="1477"/>
      <c r="H220" s="1477"/>
      <c r="I220" s="1477"/>
      <c r="J220" s="1478"/>
      <c r="K220" s="900"/>
      <c r="L220" s="900"/>
    </row>
    <row r="221" spans="1:12" ht="15.75" hidden="1" customHeight="1" outlineLevel="1">
      <c r="B221" s="753">
        <v>1</v>
      </c>
      <c r="C221" s="1603" t="s">
        <v>831</v>
      </c>
      <c r="D221" s="1477"/>
      <c r="E221" s="1477"/>
      <c r="F221" s="1477"/>
      <c r="G221" s="1477"/>
      <c r="H221" s="1478"/>
      <c r="I221" s="754" t="s">
        <v>354</v>
      </c>
      <c r="J221" s="753" t="s">
        <v>355</v>
      </c>
      <c r="K221" s="900"/>
      <c r="L221" s="900"/>
    </row>
    <row r="222" spans="1:12" ht="30.75" hidden="1" customHeight="1" outlineLevel="1">
      <c r="B222" s="696" t="s">
        <v>360</v>
      </c>
      <c r="C222" s="1573" t="s">
        <v>1008</v>
      </c>
      <c r="D222" s="1477"/>
      <c r="E222" s="1478"/>
      <c r="F222" s="763" t="s">
        <v>362</v>
      </c>
      <c r="G222" s="909">
        <v>0</v>
      </c>
      <c r="H222" s="763" t="s">
        <v>522</v>
      </c>
      <c r="I222" s="765">
        <f>I33*0.2</f>
        <v>5.1254181818181825</v>
      </c>
      <c r="J222" s="766">
        <f t="shared" ref="J222:J224" si="10">G222*I222</f>
        <v>0</v>
      </c>
      <c r="K222" s="910"/>
      <c r="L222" s="910"/>
    </row>
    <row r="223" spans="1:12" ht="30.75" hidden="1" customHeight="1" outlineLevel="1">
      <c r="B223" s="696" t="s">
        <v>368</v>
      </c>
      <c r="C223" s="1574" t="s">
        <v>1009</v>
      </c>
      <c r="D223" s="1575"/>
      <c r="E223" s="1575"/>
      <c r="F223" s="763" t="s">
        <v>370</v>
      </c>
      <c r="G223" s="909">
        <v>0</v>
      </c>
      <c r="H223" s="763" t="s">
        <v>524</v>
      </c>
      <c r="I223" s="765">
        <f>I33*1.5</f>
        <v>38.440636363636365</v>
      </c>
      <c r="J223" s="766">
        <f t="shared" si="10"/>
        <v>0</v>
      </c>
      <c r="K223" s="910"/>
      <c r="L223" s="910"/>
    </row>
    <row r="224" spans="1:12" ht="30.75" hidden="1" customHeight="1" outlineLevel="1">
      <c r="B224" s="696" t="s">
        <v>372</v>
      </c>
      <c r="C224" s="1574" t="s">
        <v>1010</v>
      </c>
      <c r="D224" s="1575"/>
      <c r="E224" s="1575"/>
      <c r="F224" s="763" t="s">
        <v>374</v>
      </c>
      <c r="G224" s="909">
        <v>0</v>
      </c>
      <c r="H224" s="763" t="s">
        <v>526</v>
      </c>
      <c r="I224" s="765">
        <f>I33*2</f>
        <v>51.25418181818182</v>
      </c>
      <c r="J224" s="767">
        <f t="shared" si="10"/>
        <v>0</v>
      </c>
      <c r="K224" s="910"/>
      <c r="L224" s="910"/>
    </row>
    <row r="225" spans="2:12" ht="36.75" hidden="1" customHeight="1" outlineLevel="1">
      <c r="B225" s="696" t="s">
        <v>376</v>
      </c>
      <c r="C225" s="1576" t="s">
        <v>1011</v>
      </c>
      <c r="D225" s="1419"/>
      <c r="E225" s="1419"/>
      <c r="F225" s="763" t="s">
        <v>378</v>
      </c>
      <c r="G225" s="768">
        <f>SUM(G222:G224)*0.2</f>
        <v>0</v>
      </c>
      <c r="H225" s="763"/>
      <c r="I225" s="765"/>
      <c r="J225" s="767">
        <f>ROUND(SUM(J222:J224)*0.2,2)</f>
        <v>0</v>
      </c>
      <c r="K225" s="910"/>
      <c r="L225" s="910"/>
    </row>
    <row r="226" spans="2:12" ht="15.75" hidden="1" customHeight="1" outlineLevel="1">
      <c r="B226" s="696" t="s">
        <v>379</v>
      </c>
      <c r="C226" s="1577" t="s">
        <v>380</v>
      </c>
      <c r="D226" s="1477"/>
      <c r="E226" s="1477"/>
      <c r="F226" s="1477"/>
      <c r="G226" s="1477"/>
      <c r="H226" s="1477"/>
      <c r="I226" s="1478"/>
      <c r="J226" s="769" t="s">
        <v>325</v>
      </c>
      <c r="K226" s="900"/>
      <c r="L226" s="900"/>
    </row>
    <row r="227" spans="2:12" ht="57" hidden="1" customHeight="1" outlineLevel="1">
      <c r="B227" s="1578" t="s">
        <v>836</v>
      </c>
      <c r="C227" s="1477"/>
      <c r="D227" s="1477"/>
      <c r="E227" s="1477"/>
      <c r="F227" s="1477"/>
      <c r="G227" s="1477"/>
      <c r="H227" s="1477"/>
      <c r="I227" s="1478"/>
      <c r="J227" s="775">
        <f>SUM(J222:J226)</f>
        <v>0</v>
      </c>
      <c r="K227" s="900"/>
      <c r="L227" s="900"/>
    </row>
    <row r="228" spans="2:12" ht="15.75" hidden="1" customHeight="1" outlineLevel="1">
      <c r="B228" s="908"/>
      <c r="C228" s="908"/>
      <c r="D228" s="908"/>
      <c r="E228" s="908"/>
      <c r="F228" s="908"/>
      <c r="G228" s="908"/>
      <c r="H228" s="908"/>
      <c r="I228" s="908"/>
      <c r="J228" s="908"/>
      <c r="K228" s="900"/>
      <c r="L228" s="900"/>
    </row>
    <row r="229" spans="2:12" ht="33" hidden="1" customHeight="1" outlineLevel="1">
      <c r="B229" s="1579" t="s">
        <v>386</v>
      </c>
      <c r="C229" s="1477"/>
      <c r="D229" s="1477"/>
      <c r="E229" s="1477"/>
      <c r="F229" s="1477"/>
      <c r="G229" s="1477"/>
      <c r="H229" s="1477"/>
      <c r="I229" s="1477"/>
      <c r="J229" s="1478"/>
      <c r="K229" s="900"/>
      <c r="L229" s="900"/>
    </row>
    <row r="230" spans="2:12" ht="45" hidden="1" customHeight="1" outlineLevel="1">
      <c r="B230" s="1580" t="s">
        <v>837</v>
      </c>
      <c r="C230" s="1477"/>
      <c r="D230" s="1477"/>
      <c r="E230" s="1477"/>
      <c r="F230" s="1477"/>
      <c r="G230" s="1477"/>
      <c r="H230" s="1477"/>
      <c r="I230" s="1477"/>
      <c r="J230" s="1478"/>
      <c r="K230" s="900"/>
      <c r="L230" s="900"/>
    </row>
    <row r="231" spans="2:12" ht="28.5" hidden="1" customHeight="1" outlineLevel="1">
      <c r="B231" s="911">
        <v>45659</v>
      </c>
      <c r="C231" s="1581" t="s">
        <v>530</v>
      </c>
      <c r="D231" s="1477"/>
      <c r="E231" s="1477"/>
      <c r="F231" s="1477"/>
      <c r="G231" s="1477"/>
      <c r="H231" s="1477"/>
      <c r="I231" s="1478"/>
      <c r="J231" s="912" t="s">
        <v>390</v>
      </c>
      <c r="K231" s="900"/>
      <c r="L231" s="900"/>
    </row>
    <row r="232" spans="2:12" ht="28.5" hidden="1" customHeight="1" outlineLevel="1">
      <c r="B232" s="912" t="s">
        <v>312</v>
      </c>
      <c r="C232" s="1553" t="s">
        <v>531</v>
      </c>
      <c r="D232" s="1477"/>
      <c r="E232" s="1477"/>
      <c r="F232" s="1477"/>
      <c r="G232" s="1477"/>
      <c r="H232" s="1478"/>
      <c r="I232" s="913">
        <f t="shared" ref="I232:I233" si="11">I70</f>
        <v>8.3299999999999999E-2</v>
      </c>
      <c r="J232" s="766">
        <f>J227*I232</f>
        <v>0</v>
      </c>
      <c r="K232" s="900"/>
      <c r="L232" s="900"/>
    </row>
    <row r="233" spans="2:12" ht="28.5" hidden="1" customHeight="1" outlineLevel="1">
      <c r="B233" s="912" t="s">
        <v>314</v>
      </c>
      <c r="C233" s="1582" t="s">
        <v>1012</v>
      </c>
      <c r="D233" s="1477"/>
      <c r="E233" s="1477"/>
      <c r="F233" s="1477"/>
      <c r="G233" s="1477"/>
      <c r="H233" s="1478"/>
      <c r="I233" s="913">
        <f t="shared" si="11"/>
        <v>3.0249999999999999E-2</v>
      </c>
      <c r="J233" s="766">
        <f>J227*I233</f>
        <v>0</v>
      </c>
      <c r="K233" s="900"/>
      <c r="L233" s="900"/>
    </row>
    <row r="234" spans="2:12" ht="28.5" hidden="1" customHeight="1" outlineLevel="1">
      <c r="B234" s="1583" t="s">
        <v>393</v>
      </c>
      <c r="C234" s="1477"/>
      <c r="D234" s="1477"/>
      <c r="E234" s="1477"/>
      <c r="F234" s="1477"/>
      <c r="G234" s="1477"/>
      <c r="H234" s="1477"/>
      <c r="I234" s="1478"/>
      <c r="J234" s="775">
        <f>SUM(J232:J233)</f>
        <v>0</v>
      </c>
      <c r="K234" s="900"/>
      <c r="L234" s="900"/>
    </row>
    <row r="235" spans="2:12" ht="28.5" hidden="1" customHeight="1" outlineLevel="1">
      <c r="B235" s="908"/>
      <c r="C235" s="908"/>
      <c r="D235" s="908"/>
      <c r="E235" s="908"/>
      <c r="F235" s="908"/>
      <c r="G235" s="908"/>
      <c r="H235" s="908"/>
      <c r="I235" s="908"/>
      <c r="J235" s="908"/>
      <c r="K235" s="900"/>
      <c r="L235" s="900"/>
    </row>
    <row r="236" spans="2:12" ht="26.25" hidden="1" customHeight="1" outlineLevel="1">
      <c r="B236" s="791" t="s">
        <v>396</v>
      </c>
      <c r="C236" s="1734" t="s">
        <v>1013</v>
      </c>
      <c r="D236" s="1477"/>
      <c r="E236" s="1477"/>
      <c r="F236" s="1477"/>
      <c r="G236" s="1477"/>
      <c r="H236" s="1478"/>
      <c r="I236" s="792" t="s">
        <v>354</v>
      </c>
      <c r="J236" s="793" t="s">
        <v>398</v>
      </c>
      <c r="K236" s="900"/>
      <c r="L236" s="900"/>
    </row>
    <row r="237" spans="2:12" ht="28.5" hidden="1" customHeight="1" outlineLevel="1">
      <c r="B237" s="794" t="s">
        <v>312</v>
      </c>
      <c r="C237" s="1577" t="s">
        <v>399</v>
      </c>
      <c r="D237" s="1477"/>
      <c r="E237" s="1477"/>
      <c r="F237" s="1477"/>
      <c r="G237" s="1477"/>
      <c r="H237" s="1478"/>
      <c r="I237" s="795">
        <f t="shared" ref="I237:I238" si="12">I78</f>
        <v>0.2</v>
      </c>
      <c r="J237" s="796">
        <f>ROUND((J227+J234)*I237,2)</f>
        <v>0</v>
      </c>
      <c r="K237" s="900"/>
      <c r="L237" s="900"/>
    </row>
    <row r="238" spans="2:12" ht="28.5" hidden="1" customHeight="1" outlineLevel="1">
      <c r="B238" s="794" t="s">
        <v>314</v>
      </c>
      <c r="C238" s="1577" t="s">
        <v>400</v>
      </c>
      <c r="D238" s="1477"/>
      <c r="E238" s="1477"/>
      <c r="F238" s="1477"/>
      <c r="G238" s="1477"/>
      <c r="H238" s="1478"/>
      <c r="I238" s="795">
        <f t="shared" si="12"/>
        <v>2.5000000000000001E-2</v>
      </c>
      <c r="J238" s="796">
        <f>ROUND((J227+J234)*I238,2)</f>
        <v>0</v>
      </c>
      <c r="K238" s="900"/>
      <c r="L238" s="900"/>
    </row>
    <row r="239" spans="2:12" ht="39" hidden="1" customHeight="1" outlineLevel="1">
      <c r="B239" s="794" t="s">
        <v>316</v>
      </c>
      <c r="C239" s="1577" t="s">
        <v>1014</v>
      </c>
      <c r="D239" s="1478"/>
      <c r="E239" s="735" t="s">
        <v>402</v>
      </c>
      <c r="F239" s="797">
        <f>F80</f>
        <v>0</v>
      </c>
      <c r="G239" s="735" t="s">
        <v>403</v>
      </c>
      <c r="H239" s="798">
        <f t="shared" ref="H239:I239" si="13">H80</f>
        <v>1</v>
      </c>
      <c r="I239" s="795">
        <f t="shared" si="13"/>
        <v>0</v>
      </c>
      <c r="J239" s="796">
        <f>ROUND((J227+J234)*I239,2)</f>
        <v>0</v>
      </c>
      <c r="K239" s="900"/>
      <c r="L239" s="900"/>
    </row>
    <row r="240" spans="2:12" ht="28.5" hidden="1" customHeight="1" outlineLevel="1">
      <c r="B240" s="794" t="s">
        <v>318</v>
      </c>
      <c r="C240" s="1577" t="s">
        <v>404</v>
      </c>
      <c r="D240" s="1477"/>
      <c r="E240" s="1477"/>
      <c r="F240" s="1477"/>
      <c r="G240" s="1477"/>
      <c r="H240" s="1478"/>
      <c r="I240" s="795">
        <f t="shared" ref="I240:I244" si="14">I81</f>
        <v>1.4999999999999999E-2</v>
      </c>
      <c r="J240" s="796">
        <f>ROUND((J227+J234)*I240,2)</f>
        <v>0</v>
      </c>
      <c r="K240" s="900"/>
      <c r="L240" s="900"/>
    </row>
    <row r="241" spans="2:12" ht="15.75" hidden="1" customHeight="1" outlineLevel="1">
      <c r="B241" s="794" t="s">
        <v>360</v>
      </c>
      <c r="C241" s="1577" t="s">
        <v>405</v>
      </c>
      <c r="D241" s="1477"/>
      <c r="E241" s="1477"/>
      <c r="F241" s="1477"/>
      <c r="G241" s="1477"/>
      <c r="H241" s="1478"/>
      <c r="I241" s="795">
        <f t="shared" si="14"/>
        <v>0.01</v>
      </c>
      <c r="J241" s="796">
        <f>ROUND((J227+J234)*I241,2)</f>
        <v>0</v>
      </c>
      <c r="K241" s="900"/>
      <c r="L241" s="900"/>
    </row>
    <row r="242" spans="2:12" ht="15.75" hidden="1" customHeight="1" outlineLevel="1">
      <c r="B242" s="794" t="s">
        <v>364</v>
      </c>
      <c r="C242" s="1577" t="s">
        <v>406</v>
      </c>
      <c r="D242" s="1477"/>
      <c r="E242" s="1477"/>
      <c r="F242" s="1477"/>
      <c r="G242" s="1477"/>
      <c r="H242" s="1478"/>
      <c r="I242" s="795">
        <f t="shared" si="14"/>
        <v>6.0000000000000001E-3</v>
      </c>
      <c r="J242" s="796">
        <f>ROUND((J227+J234)*I242,2)</f>
        <v>0</v>
      </c>
      <c r="K242" s="900"/>
      <c r="L242" s="900"/>
    </row>
    <row r="243" spans="2:12" ht="15.75" hidden="1" customHeight="1" outlineLevel="1">
      <c r="B243" s="794" t="s">
        <v>366</v>
      </c>
      <c r="C243" s="1577" t="s">
        <v>407</v>
      </c>
      <c r="D243" s="1477"/>
      <c r="E243" s="1477"/>
      <c r="F243" s="1477"/>
      <c r="G243" s="1477"/>
      <c r="H243" s="1478"/>
      <c r="I243" s="795">
        <f t="shared" si="14"/>
        <v>2E-3</v>
      </c>
      <c r="J243" s="796">
        <f>ROUND((J227+J234)*I243,2)</f>
        <v>0</v>
      </c>
      <c r="K243" s="900"/>
      <c r="L243" s="900"/>
    </row>
    <row r="244" spans="2:12" ht="15.75" hidden="1" customHeight="1" outlineLevel="1">
      <c r="B244" s="794" t="s">
        <v>368</v>
      </c>
      <c r="C244" s="1577" t="s">
        <v>408</v>
      </c>
      <c r="D244" s="1477"/>
      <c r="E244" s="1477"/>
      <c r="F244" s="1477"/>
      <c r="G244" s="1477"/>
      <c r="H244" s="1478"/>
      <c r="I244" s="795">
        <f t="shared" si="14"/>
        <v>0.08</v>
      </c>
      <c r="J244" s="796">
        <f>ROUND((J227+J234)*I244,2)</f>
        <v>0</v>
      </c>
      <c r="K244" s="900"/>
      <c r="L244" s="900"/>
    </row>
    <row r="245" spans="2:12" ht="15.75" hidden="1" customHeight="1" outlineLevel="1">
      <c r="B245" s="1585" t="s">
        <v>393</v>
      </c>
      <c r="C245" s="1477"/>
      <c r="D245" s="1477"/>
      <c r="E245" s="1477"/>
      <c r="F245" s="1477"/>
      <c r="G245" s="1477"/>
      <c r="H245" s="1478"/>
      <c r="I245" s="800">
        <f t="shared" ref="I245:J245" si="15">SUM(I237:I244)</f>
        <v>0.33800000000000002</v>
      </c>
      <c r="J245" s="775">
        <f t="shared" si="15"/>
        <v>0</v>
      </c>
      <c r="K245" s="900"/>
      <c r="L245" s="900"/>
    </row>
    <row r="246" spans="2:12" ht="15.75" hidden="1" customHeight="1" outlineLevel="1">
      <c r="B246" s="908"/>
      <c r="C246" s="908"/>
      <c r="D246" s="908"/>
      <c r="E246" s="908"/>
      <c r="F246" s="908"/>
      <c r="G246" s="908"/>
      <c r="H246" s="908"/>
      <c r="I246" s="908"/>
      <c r="J246" s="908"/>
      <c r="K246" s="900"/>
      <c r="L246" s="900"/>
    </row>
    <row r="247" spans="2:12" ht="15.75" hidden="1" customHeight="1" outlineLevel="1">
      <c r="B247" s="1579" t="s">
        <v>663</v>
      </c>
      <c r="C247" s="1477"/>
      <c r="D247" s="1477"/>
      <c r="E247" s="1477"/>
      <c r="F247" s="1477"/>
      <c r="G247" s="1477"/>
      <c r="H247" s="1477"/>
      <c r="I247" s="1477"/>
      <c r="J247" s="1478"/>
      <c r="K247" s="900"/>
      <c r="L247" s="900"/>
    </row>
    <row r="248" spans="2:12" ht="15.75" hidden="1" customHeight="1" outlineLevel="1">
      <c r="B248" s="914">
        <v>3</v>
      </c>
      <c r="C248" s="1586" t="s">
        <v>435</v>
      </c>
      <c r="D248" s="1477"/>
      <c r="E248" s="1477"/>
      <c r="F248" s="1477"/>
      <c r="G248" s="1477"/>
      <c r="H248" s="1477"/>
      <c r="I248" s="1478"/>
      <c r="J248" s="914" t="s">
        <v>390</v>
      </c>
      <c r="K248" s="900"/>
      <c r="L248" s="900"/>
    </row>
    <row r="249" spans="2:12" ht="21.75" hidden="1" customHeight="1" outlineLevel="1">
      <c r="B249" s="915" t="s">
        <v>312</v>
      </c>
      <c r="C249" s="1587" t="s">
        <v>536</v>
      </c>
      <c r="D249" s="1477"/>
      <c r="E249" s="1477"/>
      <c r="F249" s="1477"/>
      <c r="G249" s="1477"/>
      <c r="H249" s="1477"/>
      <c r="I249" s="1478"/>
      <c r="J249" s="796">
        <f>ROUND((J227/12)+(J234/12),0)*1*0.05</f>
        <v>0</v>
      </c>
      <c r="K249" s="900"/>
      <c r="L249" s="900"/>
    </row>
    <row r="250" spans="2:12" ht="21.75" hidden="1" customHeight="1" outlineLevel="1">
      <c r="B250" s="915" t="s">
        <v>314</v>
      </c>
      <c r="C250" s="1587" t="s">
        <v>437</v>
      </c>
      <c r="D250" s="1477"/>
      <c r="E250" s="1477"/>
      <c r="F250" s="1477"/>
      <c r="G250" s="1477"/>
      <c r="H250" s="1477"/>
      <c r="I250" s="1478"/>
      <c r="J250" s="796">
        <f>(J249*I244)</f>
        <v>0</v>
      </c>
      <c r="K250" s="900"/>
      <c r="L250" s="900"/>
    </row>
    <row r="251" spans="2:12" ht="61.5" hidden="1" customHeight="1" outlineLevel="1">
      <c r="B251" s="915" t="s">
        <v>316</v>
      </c>
      <c r="C251" s="1588" t="s">
        <v>1015</v>
      </c>
      <c r="D251" s="1477"/>
      <c r="E251" s="1477"/>
      <c r="F251" s="1477"/>
      <c r="G251" s="1477"/>
      <c r="H251" s="1477"/>
      <c r="I251" s="916" t="s">
        <v>128</v>
      </c>
      <c r="J251" s="796">
        <f>ROUND(((7/30)/$I$11)*$J$227*1,2)</f>
        <v>0</v>
      </c>
      <c r="K251" s="900"/>
      <c r="L251" s="900"/>
    </row>
    <row r="252" spans="2:12" ht="21.75" hidden="1" customHeight="1" outlineLevel="1">
      <c r="B252" s="915" t="s">
        <v>318</v>
      </c>
      <c r="C252" s="1587" t="s">
        <v>439</v>
      </c>
      <c r="D252" s="1477"/>
      <c r="E252" s="1477"/>
      <c r="F252" s="1477"/>
      <c r="G252" s="1477"/>
      <c r="H252" s="1477"/>
      <c r="I252" s="1478"/>
      <c r="J252" s="796">
        <f>I245*J251</f>
        <v>0</v>
      </c>
      <c r="K252" s="900"/>
      <c r="L252" s="900"/>
    </row>
    <row r="253" spans="2:12" ht="21.75" hidden="1" customHeight="1" outlineLevel="1">
      <c r="B253" s="915" t="s">
        <v>360</v>
      </c>
      <c r="C253" s="1587" t="s">
        <v>538</v>
      </c>
      <c r="D253" s="1477"/>
      <c r="E253" s="1477"/>
      <c r="F253" s="1477"/>
      <c r="G253" s="1477"/>
      <c r="H253" s="1478"/>
      <c r="I253" s="917">
        <f>I123</f>
        <v>0.04</v>
      </c>
      <c r="J253" s="796">
        <f>I253*J227</f>
        <v>0</v>
      </c>
      <c r="K253" s="900"/>
      <c r="L253" s="900"/>
    </row>
    <row r="254" spans="2:12" ht="15.75" hidden="1" customHeight="1" outlineLevel="1">
      <c r="B254" s="1583" t="s">
        <v>441</v>
      </c>
      <c r="C254" s="1477"/>
      <c r="D254" s="1477"/>
      <c r="E254" s="1477"/>
      <c r="F254" s="1477"/>
      <c r="G254" s="1477"/>
      <c r="H254" s="1477"/>
      <c r="I254" s="1478"/>
      <c r="J254" s="775">
        <f>SUM(J249:J253)</f>
        <v>0</v>
      </c>
      <c r="K254" s="900"/>
      <c r="L254" s="900"/>
    </row>
    <row r="255" spans="2:12" ht="15.75" hidden="1" customHeight="1" outlineLevel="1">
      <c r="B255" s="908"/>
      <c r="C255" s="908"/>
      <c r="D255" s="908"/>
      <c r="E255" s="908"/>
      <c r="F255" s="908"/>
      <c r="G255" s="908"/>
      <c r="H255" s="908"/>
      <c r="I255" s="908"/>
      <c r="J255" s="908"/>
      <c r="K255" s="900"/>
      <c r="L255" s="900"/>
    </row>
    <row r="256" spans="2:12" ht="27" hidden="1" customHeight="1" outlineLevel="1">
      <c r="B256" s="1553" t="s">
        <v>539</v>
      </c>
      <c r="C256" s="1477"/>
      <c r="D256" s="1477"/>
      <c r="E256" s="1477"/>
      <c r="F256" s="1477"/>
      <c r="G256" s="1477"/>
      <c r="H256" s="1477"/>
      <c r="I256" s="1477"/>
      <c r="J256" s="1478"/>
      <c r="K256" s="900"/>
      <c r="L256" s="900"/>
    </row>
    <row r="257" spans="2:12" ht="40.5" hidden="1" customHeight="1" outlineLevel="1">
      <c r="B257" s="832" t="s">
        <v>540</v>
      </c>
      <c r="C257" s="833">
        <f>J227</f>
        <v>0</v>
      </c>
      <c r="D257" s="918" t="s">
        <v>446</v>
      </c>
      <c r="E257" s="832" t="s">
        <v>541</v>
      </c>
      <c r="F257" s="833">
        <f>J234+J245</f>
        <v>0</v>
      </c>
      <c r="G257" s="918" t="s">
        <v>446</v>
      </c>
      <c r="H257" s="832" t="s">
        <v>448</v>
      </c>
      <c r="I257" s="833">
        <f>J254</f>
        <v>0</v>
      </c>
      <c r="J257" s="835">
        <f>C257+F257+I257</f>
        <v>0</v>
      </c>
      <c r="K257" s="900"/>
      <c r="L257" s="900"/>
    </row>
    <row r="258" spans="2:12" ht="15.75" hidden="1" customHeight="1" outlineLevel="1">
      <c r="B258" s="908"/>
      <c r="C258" s="908"/>
      <c r="D258" s="908"/>
      <c r="E258" s="908"/>
      <c r="F258" s="908"/>
      <c r="G258" s="908"/>
      <c r="H258" s="908"/>
      <c r="I258" s="908"/>
      <c r="J258" s="908"/>
      <c r="K258" s="900"/>
      <c r="L258" s="900"/>
    </row>
    <row r="259" spans="2:12" ht="15.75" hidden="1" customHeight="1" outlineLevel="1">
      <c r="B259" s="1554" t="s">
        <v>449</v>
      </c>
      <c r="C259" s="1477"/>
      <c r="D259" s="1477"/>
      <c r="E259" s="1477"/>
      <c r="F259" s="1477"/>
      <c r="G259" s="1477"/>
      <c r="H259" s="1477"/>
      <c r="I259" s="1477"/>
      <c r="J259" s="1478"/>
      <c r="K259" s="900"/>
      <c r="L259" s="900"/>
    </row>
    <row r="260" spans="2:12" ht="15.75" hidden="1" customHeight="1" outlineLevel="1">
      <c r="B260" s="805" t="s">
        <v>450</v>
      </c>
      <c r="C260" s="1555" t="s">
        <v>842</v>
      </c>
      <c r="D260" s="1477"/>
      <c r="E260" s="1477"/>
      <c r="F260" s="1477"/>
      <c r="G260" s="1477"/>
      <c r="H260" s="1477"/>
      <c r="I260" s="1478"/>
      <c r="J260" s="839" t="s">
        <v>390</v>
      </c>
      <c r="K260" s="900"/>
      <c r="L260" s="900"/>
    </row>
    <row r="261" spans="2:12" ht="28.5" hidden="1" customHeight="1" outlineLevel="1">
      <c r="B261" s="919" t="s">
        <v>312</v>
      </c>
      <c r="C261" s="1556" t="s">
        <v>1016</v>
      </c>
      <c r="D261" s="1477"/>
      <c r="E261" s="1477"/>
      <c r="F261" s="1477"/>
      <c r="G261" s="1477"/>
      <c r="H261" s="840">
        <f t="shared" ref="H261:I261" si="16">H133</f>
        <v>9.0749999999999997E-2</v>
      </c>
      <c r="I261" s="920">
        <f t="shared" si="16"/>
        <v>0.33800000000000002</v>
      </c>
      <c r="J261" s="921">
        <f>IF('1-ABA-DE-CARREGAMENTO'!H81="S",(ROUND(H261*J227,2)*(1+I261)),IF('1-ABA-DE-CARREGAMENTO'!H81="N",0,"INFORME S ou N"))</f>
        <v>0</v>
      </c>
      <c r="K261" s="900"/>
      <c r="L261" s="900"/>
    </row>
    <row r="262" spans="2:12" ht="28.5" hidden="1" customHeight="1" outlineLevel="1">
      <c r="B262" s="919" t="s">
        <v>314</v>
      </c>
      <c r="C262" s="1556" t="s">
        <v>1017</v>
      </c>
      <c r="D262" s="1477"/>
      <c r="E262" s="1477"/>
      <c r="F262" s="1477"/>
      <c r="G262" s="1477"/>
      <c r="H262" s="1477"/>
      <c r="I262" s="1478"/>
      <c r="J262" s="922">
        <f>ROUND((1/30)/12*(J257),2)</f>
        <v>0</v>
      </c>
      <c r="K262" s="900"/>
      <c r="L262" s="900"/>
    </row>
    <row r="263" spans="2:12" ht="28.5" hidden="1" customHeight="1" outlineLevel="1">
      <c r="B263" s="919" t="s">
        <v>316</v>
      </c>
      <c r="C263" s="1556" t="s">
        <v>1018</v>
      </c>
      <c r="D263" s="1477"/>
      <c r="E263" s="1477"/>
      <c r="F263" s="1477"/>
      <c r="G263" s="1477"/>
      <c r="H263" s="1477"/>
      <c r="I263" s="1478"/>
      <c r="J263" s="923">
        <f>ROUND((5/30)/12*0.015*(J257),2)</f>
        <v>0</v>
      </c>
      <c r="K263" s="900"/>
      <c r="L263" s="900"/>
    </row>
    <row r="264" spans="2:12" ht="28.5" hidden="1" customHeight="1" outlineLevel="1">
      <c r="B264" s="919" t="s">
        <v>318</v>
      </c>
      <c r="C264" s="1556" t="s">
        <v>1019</v>
      </c>
      <c r="D264" s="1477"/>
      <c r="E264" s="1477"/>
      <c r="F264" s="1477"/>
      <c r="G264" s="1477"/>
      <c r="H264" s="1477"/>
      <c r="I264" s="1478"/>
      <c r="J264" s="923">
        <f>ROUND(((15/30)/12)*0.0078*(J257),2)</f>
        <v>0</v>
      </c>
      <c r="K264" s="900"/>
      <c r="L264" s="900"/>
    </row>
    <row r="265" spans="2:12" ht="28.5" hidden="1" customHeight="1" outlineLevel="1">
      <c r="B265" s="924" t="s">
        <v>360</v>
      </c>
      <c r="C265" s="1557" t="s">
        <v>1020</v>
      </c>
      <c r="D265" s="1477"/>
      <c r="E265" s="1477"/>
      <c r="F265" s="1477"/>
      <c r="G265" s="1477"/>
      <c r="H265" s="1477"/>
      <c r="I265" s="1478"/>
      <c r="J265" s="925">
        <f>ROUND((((C257+C257/3)+(I245)*(C257+C257/3))*(4/12))/12,0)*0.02+((J254*4)/12)*0.02</f>
        <v>0</v>
      </c>
      <c r="K265" s="900"/>
      <c r="L265" s="900"/>
    </row>
    <row r="266" spans="2:12" ht="62.25" hidden="1" customHeight="1" outlineLevel="1">
      <c r="B266" s="919" t="s">
        <v>364</v>
      </c>
      <c r="C266" s="1556" t="s">
        <v>1021</v>
      </c>
      <c r="D266" s="1477"/>
      <c r="E266" s="1477"/>
      <c r="F266" s="1477"/>
      <c r="G266" s="1477"/>
      <c r="H266" s="1477"/>
      <c r="I266" s="1478"/>
      <c r="J266" s="926">
        <f>ROUND(((3/30)/12)*(J257),2)</f>
        <v>0</v>
      </c>
      <c r="K266" s="900"/>
      <c r="L266" s="900"/>
    </row>
    <row r="267" spans="2:12" ht="15.75" hidden="1" customHeight="1" outlineLevel="1">
      <c r="B267" s="1558" t="s">
        <v>393</v>
      </c>
      <c r="C267" s="1477"/>
      <c r="D267" s="1477"/>
      <c r="E267" s="1477"/>
      <c r="F267" s="1477"/>
      <c r="G267" s="1477"/>
      <c r="H267" s="1477"/>
      <c r="I267" s="1478"/>
      <c r="J267" s="927">
        <f>SUM(J261:J266)</f>
        <v>0</v>
      </c>
      <c r="K267" s="900"/>
      <c r="L267" s="900"/>
    </row>
    <row r="268" spans="2:12" ht="15.75" hidden="1" customHeight="1" outlineLevel="1">
      <c r="B268" s="908"/>
      <c r="C268" s="908"/>
      <c r="D268" s="908"/>
      <c r="E268" s="908"/>
      <c r="F268" s="908"/>
      <c r="G268" s="908"/>
      <c r="H268" s="908"/>
      <c r="I268" s="908"/>
      <c r="J268" s="908"/>
      <c r="K268" s="900"/>
      <c r="L268" s="900"/>
    </row>
    <row r="269" spans="2:12" ht="15.75" hidden="1" customHeight="1" outlineLevel="1">
      <c r="B269" s="1559" t="s">
        <v>471</v>
      </c>
      <c r="C269" s="1477"/>
      <c r="D269" s="1477"/>
      <c r="E269" s="1477"/>
      <c r="F269" s="1477"/>
      <c r="G269" s="1477"/>
      <c r="H269" s="1477"/>
      <c r="I269" s="1477"/>
      <c r="J269" s="1478"/>
      <c r="K269" s="900"/>
      <c r="L269" s="900"/>
    </row>
    <row r="270" spans="2:12" ht="15.75" hidden="1" customHeight="1" outlineLevel="1">
      <c r="B270" s="805">
        <v>6</v>
      </c>
      <c r="C270" s="1555" t="s">
        <v>549</v>
      </c>
      <c r="D270" s="1477"/>
      <c r="E270" s="1477"/>
      <c r="F270" s="1477"/>
      <c r="G270" s="1477"/>
      <c r="H270" s="1478"/>
      <c r="I270" s="863" t="s">
        <v>354</v>
      </c>
      <c r="J270" s="864" t="s">
        <v>398</v>
      </c>
      <c r="K270" s="900"/>
      <c r="L270" s="900"/>
    </row>
    <row r="271" spans="2:12" ht="15.75" hidden="1" customHeight="1" outlineLevel="1">
      <c r="B271" s="1560" t="s">
        <v>473</v>
      </c>
      <c r="C271" s="1477"/>
      <c r="D271" s="1477"/>
      <c r="E271" s="1477"/>
      <c r="F271" s="1477"/>
      <c r="G271" s="1477"/>
      <c r="H271" s="1478"/>
      <c r="I271" s="434" t="str">
        <f t="shared" ref="I271:I284" si="17">I163</f>
        <v>-</v>
      </c>
      <c r="J271" s="866">
        <f>J227+J234+J245+J254+J267</f>
        <v>0</v>
      </c>
      <c r="K271" s="900"/>
      <c r="L271" s="900"/>
    </row>
    <row r="272" spans="2:12" ht="15.75" hidden="1" customHeight="1" outlineLevel="1">
      <c r="B272" s="743" t="s">
        <v>312</v>
      </c>
      <c r="C272" s="1561" t="s">
        <v>474</v>
      </c>
      <c r="D272" s="1477"/>
      <c r="E272" s="1477"/>
      <c r="F272" s="1477"/>
      <c r="G272" s="1477"/>
      <c r="H272" s="1478"/>
      <c r="I272" s="868">
        <f t="shared" si="17"/>
        <v>0.06</v>
      </c>
      <c r="J272" s="796">
        <f>ROUND(I272*J271,2)</f>
        <v>0</v>
      </c>
      <c r="K272" s="900"/>
      <c r="L272" s="900"/>
    </row>
    <row r="273" spans="2:12" ht="15.75" hidden="1" customHeight="1" outlineLevel="1">
      <c r="B273" s="1560" t="s">
        <v>475</v>
      </c>
      <c r="C273" s="1477"/>
      <c r="D273" s="1477"/>
      <c r="E273" s="1477"/>
      <c r="F273" s="1477"/>
      <c r="G273" s="1477"/>
      <c r="H273" s="1478"/>
      <c r="I273" s="868" t="str">
        <f t="shared" si="17"/>
        <v>-</v>
      </c>
      <c r="J273" s="866">
        <f>J227+J234+J245+J254+J267+J272</f>
        <v>0</v>
      </c>
      <c r="K273" s="900"/>
      <c r="L273" s="900"/>
    </row>
    <row r="274" spans="2:12" ht="15.75" hidden="1" customHeight="1" outlineLevel="1">
      <c r="B274" s="743" t="s">
        <v>314</v>
      </c>
      <c r="C274" s="1561" t="s">
        <v>251</v>
      </c>
      <c r="D274" s="1477"/>
      <c r="E274" s="1477"/>
      <c r="F274" s="1477"/>
      <c r="G274" s="1477"/>
      <c r="H274" s="1478"/>
      <c r="I274" s="868">
        <f t="shared" si="17"/>
        <v>0.06</v>
      </c>
      <c r="J274" s="796">
        <f>ROUND(I274*J273,2)</f>
        <v>0</v>
      </c>
      <c r="K274" s="900"/>
      <c r="L274" s="900"/>
    </row>
    <row r="275" spans="2:12" ht="15.75" hidden="1" customHeight="1" outlineLevel="1">
      <c r="B275" s="1560" t="s">
        <v>476</v>
      </c>
      <c r="C275" s="1477"/>
      <c r="D275" s="1477"/>
      <c r="E275" s="1477"/>
      <c r="F275" s="1477"/>
      <c r="G275" s="1477"/>
      <c r="H275" s="1478"/>
      <c r="I275" s="868" t="str">
        <f t="shared" si="17"/>
        <v>-</v>
      </c>
      <c r="J275" s="866">
        <f>SUM(J271+J272+J274)</f>
        <v>0</v>
      </c>
      <c r="K275" s="900"/>
      <c r="L275" s="900"/>
    </row>
    <row r="276" spans="2:12" ht="15.75" hidden="1" customHeight="1" outlineLevel="1">
      <c r="B276" s="870" t="s">
        <v>316</v>
      </c>
      <c r="C276" s="1559" t="s">
        <v>477</v>
      </c>
      <c r="D276" s="1477"/>
      <c r="E276" s="1477"/>
      <c r="F276" s="1477"/>
      <c r="G276" s="1477"/>
      <c r="H276" s="1478"/>
      <c r="I276" s="868" t="str">
        <f t="shared" si="17"/>
        <v>-</v>
      </c>
      <c r="J276" s="769" t="s">
        <v>325</v>
      </c>
      <c r="K276" s="900"/>
      <c r="L276" s="900"/>
    </row>
    <row r="277" spans="2:12" ht="15.75" hidden="1" customHeight="1" outlineLevel="1">
      <c r="B277" s="743"/>
      <c r="C277" s="1589" t="s">
        <v>478</v>
      </c>
      <c r="D277" s="1477"/>
      <c r="E277" s="1477"/>
      <c r="F277" s="1477"/>
      <c r="G277" s="1477"/>
      <c r="H277" s="1478"/>
      <c r="I277" s="868" t="str">
        <f t="shared" si="17"/>
        <v>-</v>
      </c>
      <c r="J277" s="769" t="s">
        <v>325</v>
      </c>
      <c r="K277" s="900"/>
      <c r="L277" s="900"/>
    </row>
    <row r="278" spans="2:12" ht="15.75" hidden="1" customHeight="1" outlineLevel="1">
      <c r="B278" s="743"/>
      <c r="C278" s="1590" t="s">
        <v>1022</v>
      </c>
      <c r="D278" s="1477"/>
      <c r="E278" s="1477"/>
      <c r="F278" s="1477"/>
      <c r="G278" s="1477"/>
      <c r="H278" s="1478"/>
      <c r="I278" s="868">
        <f t="shared" si="17"/>
        <v>1.6500000000000001E-2</v>
      </c>
      <c r="J278" s="758">
        <f t="shared" ref="J278:J279" si="18">ROUND(($J$275/(1-$I$179))*I278,2)</f>
        <v>0</v>
      </c>
      <c r="K278" s="900"/>
      <c r="L278" s="900"/>
    </row>
    <row r="279" spans="2:12" ht="15.75" hidden="1" customHeight="1" outlineLevel="1">
      <c r="B279" s="743"/>
      <c r="C279" s="1590" t="s">
        <v>1023</v>
      </c>
      <c r="D279" s="1477"/>
      <c r="E279" s="1477"/>
      <c r="F279" s="1477"/>
      <c r="G279" s="1477"/>
      <c r="H279" s="1478"/>
      <c r="I279" s="868">
        <f t="shared" si="17"/>
        <v>7.5999999999999998E-2</v>
      </c>
      <c r="J279" s="758">
        <f t="shared" si="18"/>
        <v>0</v>
      </c>
      <c r="K279" s="900"/>
      <c r="L279" s="900"/>
    </row>
    <row r="280" spans="2:12" ht="15.75" hidden="1" customHeight="1" outlineLevel="1">
      <c r="B280" s="743"/>
      <c r="C280" s="1577" t="s">
        <v>1024</v>
      </c>
      <c r="D280" s="1477"/>
      <c r="E280" s="1477"/>
      <c r="F280" s="1477"/>
      <c r="G280" s="1477"/>
      <c r="H280" s="1478"/>
      <c r="I280" s="868" t="str">
        <f t="shared" si="17"/>
        <v>-</v>
      </c>
      <c r="J280" s="769" t="s">
        <v>325</v>
      </c>
      <c r="K280" s="900"/>
      <c r="L280" s="900"/>
    </row>
    <row r="281" spans="2:12" ht="15.75" hidden="1" customHeight="1" outlineLevel="1">
      <c r="B281" s="743"/>
      <c r="C281" s="1577" t="s">
        <v>1025</v>
      </c>
      <c r="D281" s="1477"/>
      <c r="E281" s="1477"/>
      <c r="F281" s="1477"/>
      <c r="G281" s="1477"/>
      <c r="H281" s="1478"/>
      <c r="I281" s="868" t="str">
        <f t="shared" si="17"/>
        <v>-</v>
      </c>
      <c r="J281" s="769" t="s">
        <v>325</v>
      </c>
      <c r="K281" s="900"/>
      <c r="L281" s="900"/>
    </row>
    <row r="282" spans="2:12" ht="15.75" hidden="1" customHeight="1" outlineLevel="1">
      <c r="B282" s="743"/>
      <c r="C282" s="1577" t="s">
        <v>483</v>
      </c>
      <c r="D282" s="1477"/>
      <c r="E282" s="1477"/>
      <c r="F282" s="1477"/>
      <c r="G282" s="1477"/>
      <c r="H282" s="1477"/>
      <c r="I282" s="868" t="str">
        <f t="shared" si="17"/>
        <v>-</v>
      </c>
      <c r="J282" s="769" t="s">
        <v>325</v>
      </c>
      <c r="K282" s="900"/>
      <c r="L282" s="900"/>
    </row>
    <row r="283" spans="2:12" ht="15.75" hidden="1" customHeight="1" outlineLevel="1">
      <c r="B283" s="743"/>
      <c r="C283" s="1577" t="s">
        <v>484</v>
      </c>
      <c r="D283" s="1477"/>
      <c r="E283" s="1477"/>
      <c r="F283" s="1477"/>
      <c r="G283" s="1477"/>
      <c r="H283" s="1477"/>
      <c r="I283" s="868" t="str">
        <f t="shared" si="17"/>
        <v>-</v>
      </c>
      <c r="J283" s="769" t="s">
        <v>325</v>
      </c>
      <c r="K283" s="900"/>
      <c r="L283" s="900"/>
    </row>
    <row r="284" spans="2:12" ht="15.75" hidden="1" customHeight="1" outlineLevel="1">
      <c r="B284" s="743"/>
      <c r="C284" s="1577" t="s">
        <v>485</v>
      </c>
      <c r="D284" s="1477"/>
      <c r="E284" s="1477"/>
      <c r="F284" s="1477"/>
      <c r="G284" s="1477"/>
      <c r="H284" s="1478"/>
      <c r="I284" s="868">
        <f t="shared" si="17"/>
        <v>0.02</v>
      </c>
      <c r="J284" s="758">
        <f>ROUND(($J$275/(1-$I$179))*I284,2)</f>
        <v>0</v>
      </c>
      <c r="K284" s="900"/>
      <c r="L284" s="900"/>
    </row>
    <row r="285" spans="2:12" ht="15.75" hidden="1" customHeight="1" outlineLevel="1">
      <c r="B285" s="1585" t="s">
        <v>441</v>
      </c>
      <c r="C285" s="1477"/>
      <c r="D285" s="1477"/>
      <c r="E285" s="1477"/>
      <c r="F285" s="1477"/>
      <c r="G285" s="1477"/>
      <c r="H285" s="1477"/>
      <c r="I285" s="1478"/>
      <c r="J285" s="788">
        <f>SUM(J272+J274+J278+J279+J284)</f>
        <v>0</v>
      </c>
      <c r="K285" s="900"/>
      <c r="L285" s="900"/>
    </row>
    <row r="286" spans="2:12" ht="15.75" hidden="1" customHeight="1" outlineLevel="1">
      <c r="B286" s="908"/>
      <c r="C286" s="908"/>
      <c r="D286" s="908"/>
      <c r="E286" s="908"/>
      <c r="F286" s="908"/>
      <c r="G286" s="908"/>
      <c r="H286" s="908"/>
      <c r="I286" s="908"/>
      <c r="J286" s="908"/>
      <c r="K286" s="900"/>
      <c r="L286" s="900"/>
    </row>
    <row r="287" spans="2:12" ht="15.75" hidden="1" customHeight="1" outlineLevel="1">
      <c r="B287" s="1572" t="s">
        <v>554</v>
      </c>
      <c r="C287" s="1477"/>
      <c r="D287" s="1477"/>
      <c r="E287" s="1477"/>
      <c r="F287" s="1477"/>
      <c r="G287" s="1477"/>
      <c r="H287" s="1477"/>
      <c r="I287" s="1478"/>
      <c r="J287" s="863" t="s">
        <v>390</v>
      </c>
      <c r="K287" s="900"/>
      <c r="L287" s="900"/>
    </row>
    <row r="288" spans="2:12" ht="15.75" hidden="1" customHeight="1" outlineLevel="1">
      <c r="B288" s="880" t="s">
        <v>312</v>
      </c>
      <c r="C288" s="1599" t="s">
        <v>494</v>
      </c>
      <c r="D288" s="1477"/>
      <c r="E288" s="1477"/>
      <c r="F288" s="1477"/>
      <c r="G288" s="1477"/>
      <c r="H288" s="1477"/>
      <c r="I288" s="1477"/>
      <c r="J288" s="881">
        <f>J227</f>
        <v>0</v>
      </c>
      <c r="K288" s="900"/>
      <c r="L288" s="900"/>
    </row>
    <row r="289" spans="2:12" ht="15.75" hidden="1" customHeight="1" outlineLevel="1">
      <c r="B289" s="880" t="s">
        <v>314</v>
      </c>
      <c r="C289" s="1599" t="s">
        <v>495</v>
      </c>
      <c r="D289" s="1477"/>
      <c r="E289" s="1477"/>
      <c r="F289" s="1477"/>
      <c r="G289" s="1477"/>
      <c r="H289" s="1477"/>
      <c r="I289" s="1477"/>
      <c r="J289" s="881">
        <f>J234+J245</f>
        <v>0</v>
      </c>
      <c r="K289" s="900"/>
      <c r="L289" s="900"/>
    </row>
    <row r="290" spans="2:12" ht="15.75" hidden="1" customHeight="1" outlineLevel="1">
      <c r="B290" s="880" t="s">
        <v>316</v>
      </c>
      <c r="C290" s="1599" t="s">
        <v>496</v>
      </c>
      <c r="D290" s="1477"/>
      <c r="E290" s="1477"/>
      <c r="F290" s="1477"/>
      <c r="G290" s="1477"/>
      <c r="H290" s="1477"/>
      <c r="I290" s="1477"/>
      <c r="J290" s="881">
        <f>J254</f>
        <v>0</v>
      </c>
      <c r="K290" s="900"/>
      <c r="L290" s="900"/>
    </row>
    <row r="291" spans="2:12" ht="15.75" hidden="1" customHeight="1" outlineLevel="1">
      <c r="B291" s="880" t="s">
        <v>318</v>
      </c>
      <c r="C291" s="1599" t="s">
        <v>497</v>
      </c>
      <c r="D291" s="1477"/>
      <c r="E291" s="1477"/>
      <c r="F291" s="1477"/>
      <c r="G291" s="1477"/>
      <c r="H291" s="1477"/>
      <c r="I291" s="1477"/>
      <c r="J291" s="881">
        <f>J267</f>
        <v>0</v>
      </c>
      <c r="K291" s="900"/>
      <c r="L291" s="900"/>
    </row>
    <row r="292" spans="2:12" ht="15.75" hidden="1" customHeight="1" outlineLevel="1">
      <c r="B292" s="880" t="s">
        <v>360</v>
      </c>
      <c r="C292" s="1599" t="s">
        <v>498</v>
      </c>
      <c r="D292" s="1477"/>
      <c r="E292" s="1477"/>
      <c r="F292" s="1477"/>
      <c r="G292" s="1477"/>
      <c r="H292" s="1477"/>
      <c r="I292" s="1477"/>
      <c r="J292" s="881">
        <v>0</v>
      </c>
      <c r="K292" s="900"/>
      <c r="L292" s="900"/>
    </row>
    <row r="293" spans="2:12" ht="15.75" hidden="1" customHeight="1" outlineLevel="1">
      <c r="B293" s="1600" t="s">
        <v>499</v>
      </c>
      <c r="C293" s="1477"/>
      <c r="D293" s="1477"/>
      <c r="E293" s="1477"/>
      <c r="F293" s="1477"/>
      <c r="G293" s="1477"/>
      <c r="H293" s="1477"/>
      <c r="I293" s="1521"/>
      <c r="J293" s="857">
        <f>SUM(J288:J292)</f>
        <v>0</v>
      </c>
      <c r="K293" s="900"/>
      <c r="L293" s="900"/>
    </row>
    <row r="294" spans="2:12" ht="15.75" hidden="1" customHeight="1" outlineLevel="1">
      <c r="B294" s="882" t="s">
        <v>364</v>
      </c>
      <c r="C294" s="1599" t="s">
        <v>471</v>
      </c>
      <c r="D294" s="1477"/>
      <c r="E294" s="1477"/>
      <c r="F294" s="1477"/>
      <c r="G294" s="1477"/>
      <c r="H294" s="1477"/>
      <c r="I294" s="1477"/>
      <c r="J294" s="881">
        <f>J285</f>
        <v>0</v>
      </c>
      <c r="K294" s="900"/>
      <c r="L294" s="900"/>
    </row>
    <row r="295" spans="2:12" ht="15.75" hidden="1" customHeight="1" outlineLevel="1">
      <c r="B295" s="1601" t="s">
        <v>555</v>
      </c>
      <c r="C295" s="1477"/>
      <c r="D295" s="1477"/>
      <c r="E295" s="1477"/>
      <c r="F295" s="1477"/>
      <c r="G295" s="1477"/>
      <c r="H295" s="1477"/>
      <c r="I295" s="1521"/>
      <c r="J295" s="928">
        <f>J293+J294</f>
        <v>0</v>
      </c>
      <c r="K295" s="897" t="s">
        <v>556</v>
      </c>
      <c r="L295" s="897" t="str">
        <f>L203</f>
        <v>2394-25_PSICOPEGAGOGO_20h</v>
      </c>
    </row>
    <row r="296" spans="2:12" ht="15.75" hidden="1" customHeight="1" outlineLevel="1">
      <c r="B296" s="908"/>
      <c r="C296" s="908"/>
      <c r="D296" s="908"/>
      <c r="E296" s="908"/>
      <c r="F296" s="908"/>
      <c r="G296" s="908"/>
      <c r="H296" s="908"/>
      <c r="I296" s="908"/>
      <c r="J296" s="908"/>
      <c r="K296" s="900"/>
      <c r="L296" s="900"/>
    </row>
    <row r="297" spans="2:12" ht="34.5" hidden="1" customHeight="1" outlineLevel="1">
      <c r="B297" s="929" t="s">
        <v>557</v>
      </c>
      <c r="C297" s="906"/>
      <c r="D297" s="906"/>
      <c r="E297" s="906"/>
      <c r="F297" s="906"/>
      <c r="G297" s="1023" t="str">
        <f>G219</f>
        <v>2394-25_PSICOPEGAGOGO_20h</v>
      </c>
      <c r="H297" s="906"/>
      <c r="I297" s="906"/>
      <c r="J297" s="906"/>
      <c r="K297" s="900"/>
      <c r="L297" s="900"/>
    </row>
    <row r="298" spans="2:12" ht="15.75" hidden="1" customHeight="1" outlineLevel="1">
      <c r="B298" s="931"/>
      <c r="C298" s="931"/>
      <c r="D298" s="931"/>
      <c r="E298" s="931"/>
      <c r="F298" s="931"/>
      <c r="G298" s="931"/>
      <c r="H298" s="931"/>
      <c r="I298" s="931"/>
      <c r="J298" s="931"/>
      <c r="K298" s="900"/>
      <c r="L298" s="900"/>
    </row>
    <row r="299" spans="2:12" ht="15.75" hidden="1" customHeight="1" outlineLevel="1">
      <c r="B299" s="1602" t="s">
        <v>410</v>
      </c>
      <c r="C299" s="1477"/>
      <c r="D299" s="1477"/>
      <c r="E299" s="1477"/>
      <c r="F299" s="1477"/>
      <c r="G299" s="1477"/>
      <c r="H299" s="1477"/>
      <c r="I299" s="1477"/>
      <c r="J299" s="1478"/>
      <c r="K299" s="900"/>
      <c r="L299" s="900"/>
    </row>
    <row r="300" spans="2:12" ht="15.75" hidden="1" customHeight="1" outlineLevel="1">
      <c r="B300" s="805" t="s">
        <v>411</v>
      </c>
      <c r="C300" s="1603" t="s">
        <v>558</v>
      </c>
      <c r="D300" s="1477"/>
      <c r="E300" s="1477"/>
      <c r="F300" s="1477"/>
      <c r="G300" s="1477"/>
      <c r="H300" s="1477"/>
      <c r="I300" s="1478"/>
      <c r="J300" s="806" t="s">
        <v>390</v>
      </c>
      <c r="K300" s="900"/>
      <c r="L300" s="900"/>
    </row>
    <row r="301" spans="2:12" ht="36.75" hidden="1" customHeight="1" outlineLevel="1">
      <c r="B301" s="932" t="s">
        <v>559</v>
      </c>
      <c r="C301" s="932" t="s">
        <v>560</v>
      </c>
      <c r="D301" s="933" t="s">
        <v>561</v>
      </c>
      <c r="E301" s="932" t="s">
        <v>562</v>
      </c>
      <c r="F301" s="934" t="s">
        <v>563</v>
      </c>
      <c r="G301" s="932" t="s">
        <v>564</v>
      </c>
      <c r="H301" s="935" t="s">
        <v>565</v>
      </c>
      <c r="I301" s="936"/>
      <c r="J301" s="937"/>
      <c r="K301" s="900"/>
      <c r="L301" s="900"/>
    </row>
    <row r="302" spans="2:12" ht="62.25" hidden="1" customHeight="1" outlineLevel="1">
      <c r="B302" s="1604" t="s">
        <v>566</v>
      </c>
      <c r="C302" s="938" t="s">
        <v>567</v>
      </c>
      <c r="D302" s="939">
        <v>425</v>
      </c>
      <c r="E302" s="940" t="s">
        <v>568</v>
      </c>
      <c r="F302" s="941">
        <v>380</v>
      </c>
      <c r="G302" s="942" t="s">
        <v>569</v>
      </c>
      <c r="H302" s="943">
        <v>335</v>
      </c>
      <c r="I302" s="944"/>
      <c r="J302" s="945">
        <f>(D302*D303)+(F302*F303)+(H302*H303)</f>
        <v>0</v>
      </c>
      <c r="K302" s="900"/>
      <c r="L302" s="900"/>
    </row>
    <row r="303" spans="2:12" ht="62.25" hidden="1" customHeight="1" outlineLevel="1">
      <c r="B303" s="1605"/>
      <c r="C303" s="946" t="s">
        <v>570</v>
      </c>
      <c r="D303" s="947">
        <v>0</v>
      </c>
      <c r="E303" s="946" t="s">
        <v>571</v>
      </c>
      <c r="F303" s="947">
        <v>0</v>
      </c>
      <c r="G303" s="946" t="s">
        <v>572</v>
      </c>
      <c r="H303" s="948">
        <v>0</v>
      </c>
      <c r="I303" s="949"/>
      <c r="J303" s="950"/>
      <c r="K303" s="900"/>
      <c r="L303" s="900"/>
    </row>
    <row r="304" spans="2:12" ht="15.75" hidden="1" customHeight="1" outlineLevel="1">
      <c r="B304" s="1026"/>
      <c r="C304" s="1585" t="s">
        <v>393</v>
      </c>
      <c r="D304" s="1477"/>
      <c r="E304" s="1477"/>
      <c r="F304" s="1477"/>
      <c r="G304" s="1477"/>
      <c r="H304" s="1477"/>
      <c r="I304" s="1521"/>
      <c r="J304" s="788">
        <f>J302</f>
        <v>0</v>
      </c>
      <c r="K304" s="900"/>
      <c r="L304" s="900"/>
    </row>
    <row r="305" spans="2:12" ht="15.75" hidden="1" customHeight="1" outlineLevel="1">
      <c r="B305" s="908"/>
      <c r="C305" s="908"/>
      <c r="D305" s="908"/>
      <c r="E305" s="908"/>
      <c r="F305" s="908"/>
      <c r="G305" s="908"/>
      <c r="H305" s="908"/>
      <c r="I305" s="908"/>
      <c r="J305" s="908"/>
      <c r="K305" s="900"/>
      <c r="L305" s="900"/>
    </row>
    <row r="306" spans="2:12" ht="15.75" hidden="1" customHeight="1" outlineLevel="1">
      <c r="B306" s="805">
        <v>6</v>
      </c>
      <c r="C306" s="1555" t="s">
        <v>853</v>
      </c>
      <c r="D306" s="1477"/>
      <c r="E306" s="1477"/>
      <c r="F306" s="1477"/>
      <c r="G306" s="1477"/>
      <c r="H306" s="1478"/>
      <c r="I306" s="863" t="s">
        <v>354</v>
      </c>
      <c r="J306" s="864" t="s">
        <v>398</v>
      </c>
      <c r="K306" s="900"/>
      <c r="L306" s="900"/>
    </row>
    <row r="307" spans="2:12" ht="15.75" hidden="1" customHeight="1" outlineLevel="1">
      <c r="B307" s="1560" t="s">
        <v>473</v>
      </c>
      <c r="C307" s="1477"/>
      <c r="D307" s="1477"/>
      <c r="E307" s="1477"/>
      <c r="F307" s="1477"/>
      <c r="G307" s="1477"/>
      <c r="H307" s="1478"/>
      <c r="I307" s="434" t="str">
        <f t="shared" ref="I307:I320" si="19">I271</f>
        <v>-</v>
      </c>
      <c r="J307" s="866">
        <f>J304</f>
        <v>0</v>
      </c>
      <c r="K307" s="900"/>
      <c r="L307" s="900"/>
    </row>
    <row r="308" spans="2:12" ht="15.75" hidden="1" customHeight="1" outlineLevel="1">
      <c r="B308" s="743" t="s">
        <v>312</v>
      </c>
      <c r="C308" s="1561" t="s">
        <v>474</v>
      </c>
      <c r="D308" s="1477"/>
      <c r="E308" s="1477"/>
      <c r="F308" s="1477"/>
      <c r="G308" s="1477"/>
      <c r="H308" s="1478"/>
      <c r="I308" s="868">
        <f t="shared" si="19"/>
        <v>0.06</v>
      </c>
      <c r="J308" s="796">
        <f>ROUND(I308*J307,2)</f>
        <v>0</v>
      </c>
      <c r="K308" s="900"/>
      <c r="L308" s="900"/>
    </row>
    <row r="309" spans="2:12" ht="15.75" hidden="1" customHeight="1" outlineLevel="1">
      <c r="B309" s="1560" t="s">
        <v>475</v>
      </c>
      <c r="C309" s="1477"/>
      <c r="D309" s="1477"/>
      <c r="E309" s="1477"/>
      <c r="F309" s="1477"/>
      <c r="G309" s="1477"/>
      <c r="H309" s="1478"/>
      <c r="I309" s="868" t="str">
        <f t="shared" si="19"/>
        <v>-</v>
      </c>
      <c r="J309" s="866">
        <f>J307+J308</f>
        <v>0</v>
      </c>
      <c r="K309" s="900"/>
      <c r="L309" s="900"/>
    </row>
    <row r="310" spans="2:12" ht="15.75" hidden="1" customHeight="1" outlineLevel="1">
      <c r="B310" s="743" t="s">
        <v>314</v>
      </c>
      <c r="C310" s="1561" t="s">
        <v>251</v>
      </c>
      <c r="D310" s="1477"/>
      <c r="E310" s="1477"/>
      <c r="F310" s="1477"/>
      <c r="G310" s="1477"/>
      <c r="H310" s="1478"/>
      <c r="I310" s="868">
        <f t="shared" si="19"/>
        <v>0.06</v>
      </c>
      <c r="J310" s="796">
        <f>ROUND(I310*J309,2)</f>
        <v>0</v>
      </c>
      <c r="K310" s="900"/>
      <c r="L310" s="900"/>
    </row>
    <row r="311" spans="2:12" ht="15.75" hidden="1" customHeight="1" outlineLevel="1">
      <c r="B311" s="1560" t="s">
        <v>476</v>
      </c>
      <c r="C311" s="1477"/>
      <c r="D311" s="1477"/>
      <c r="E311" s="1477"/>
      <c r="F311" s="1477"/>
      <c r="G311" s="1477"/>
      <c r="H311" s="1478"/>
      <c r="I311" s="868" t="str">
        <f t="shared" si="19"/>
        <v>-</v>
      </c>
      <c r="J311" s="866">
        <f>SUM(J307+J308+J310)</f>
        <v>0</v>
      </c>
      <c r="K311" s="900"/>
      <c r="L311" s="900"/>
    </row>
    <row r="312" spans="2:12" ht="15.75" hidden="1" customHeight="1" outlineLevel="1">
      <c r="B312" s="870" t="s">
        <v>316</v>
      </c>
      <c r="C312" s="1559" t="s">
        <v>477</v>
      </c>
      <c r="D312" s="1477"/>
      <c r="E312" s="1477"/>
      <c r="F312" s="1477"/>
      <c r="G312" s="1477"/>
      <c r="H312" s="1478"/>
      <c r="I312" s="868" t="str">
        <f t="shared" si="19"/>
        <v>-</v>
      </c>
      <c r="J312" s="769" t="s">
        <v>325</v>
      </c>
      <c r="K312" s="900"/>
      <c r="L312" s="900"/>
    </row>
    <row r="313" spans="2:12" ht="15.75" hidden="1" customHeight="1" outlineLevel="1">
      <c r="B313" s="743"/>
      <c r="C313" s="1589" t="s">
        <v>478</v>
      </c>
      <c r="D313" s="1477"/>
      <c r="E313" s="1477"/>
      <c r="F313" s="1477"/>
      <c r="G313" s="1477"/>
      <c r="H313" s="1478"/>
      <c r="I313" s="868" t="str">
        <f t="shared" si="19"/>
        <v>-</v>
      </c>
      <c r="J313" s="769" t="s">
        <v>325</v>
      </c>
      <c r="K313" s="900"/>
      <c r="L313" s="900"/>
    </row>
    <row r="314" spans="2:12" ht="15.75" hidden="1" customHeight="1" outlineLevel="1">
      <c r="B314" s="743"/>
      <c r="C314" s="1590" t="s">
        <v>1026</v>
      </c>
      <c r="D314" s="1477"/>
      <c r="E314" s="1477"/>
      <c r="F314" s="1477"/>
      <c r="G314" s="1477"/>
      <c r="H314" s="1478"/>
      <c r="I314" s="868">
        <f t="shared" si="19"/>
        <v>1.6500000000000001E-2</v>
      </c>
      <c r="J314" s="758">
        <f t="shared" ref="J314:J315" si="20">ROUND(($J$311/(1-$I$179))*I314,2)</f>
        <v>0</v>
      </c>
      <c r="K314" s="900"/>
      <c r="L314" s="900"/>
    </row>
    <row r="315" spans="2:12" ht="15.75" hidden="1" customHeight="1" outlineLevel="1">
      <c r="B315" s="743"/>
      <c r="C315" s="1590" t="s">
        <v>1027</v>
      </c>
      <c r="D315" s="1477"/>
      <c r="E315" s="1477"/>
      <c r="F315" s="1477"/>
      <c r="G315" s="1477"/>
      <c r="H315" s="1478"/>
      <c r="I315" s="868">
        <f t="shared" si="19"/>
        <v>7.5999999999999998E-2</v>
      </c>
      <c r="J315" s="758">
        <f t="shared" si="20"/>
        <v>0</v>
      </c>
      <c r="K315" s="900"/>
      <c r="L315" s="900"/>
    </row>
    <row r="316" spans="2:12" ht="15.75" hidden="1" customHeight="1" outlineLevel="1">
      <c r="B316" s="743"/>
      <c r="C316" s="1577" t="s">
        <v>1028</v>
      </c>
      <c r="D316" s="1477"/>
      <c r="E316" s="1477"/>
      <c r="F316" s="1477"/>
      <c r="G316" s="1477"/>
      <c r="H316" s="1478"/>
      <c r="I316" s="868" t="str">
        <f t="shared" si="19"/>
        <v>-</v>
      </c>
      <c r="J316" s="951" t="s">
        <v>325</v>
      </c>
      <c r="K316" s="952"/>
      <c r="L316" s="953"/>
    </row>
    <row r="317" spans="2:12" ht="15.75" hidden="1" customHeight="1" outlineLevel="1">
      <c r="B317" s="743"/>
      <c r="C317" s="1577" t="s">
        <v>1029</v>
      </c>
      <c r="D317" s="1477"/>
      <c r="E317" s="1477"/>
      <c r="F317" s="1477"/>
      <c r="G317" s="1477"/>
      <c r="H317" s="1478"/>
      <c r="I317" s="868" t="str">
        <f t="shared" si="19"/>
        <v>-</v>
      </c>
      <c r="J317" s="769" t="s">
        <v>325</v>
      </c>
      <c r="K317" s="900"/>
      <c r="L317" s="900"/>
    </row>
    <row r="318" spans="2:12" ht="15.75" hidden="1" customHeight="1" outlineLevel="1">
      <c r="B318" s="743"/>
      <c r="C318" s="1577" t="s">
        <v>483</v>
      </c>
      <c r="D318" s="1477"/>
      <c r="E318" s="1477"/>
      <c r="F318" s="1477"/>
      <c r="G318" s="1477"/>
      <c r="H318" s="1477"/>
      <c r="I318" s="868" t="str">
        <f t="shared" si="19"/>
        <v>-</v>
      </c>
      <c r="J318" s="769" t="s">
        <v>325</v>
      </c>
      <c r="K318" s="900"/>
      <c r="L318" s="900"/>
    </row>
    <row r="319" spans="2:12" ht="15.75" hidden="1" customHeight="1" outlineLevel="1">
      <c r="B319" s="743"/>
      <c r="C319" s="1577" t="s">
        <v>484</v>
      </c>
      <c r="D319" s="1477"/>
      <c r="E319" s="1477"/>
      <c r="F319" s="1477"/>
      <c r="G319" s="1477"/>
      <c r="H319" s="1477"/>
      <c r="I319" s="868" t="str">
        <f t="shared" si="19"/>
        <v>-</v>
      </c>
      <c r="J319" s="769" t="s">
        <v>325</v>
      </c>
      <c r="K319" s="900"/>
      <c r="L319" s="900"/>
    </row>
    <row r="320" spans="2:12" ht="15.75" hidden="1" customHeight="1" outlineLevel="1">
      <c r="B320" s="743"/>
      <c r="C320" s="1577" t="s">
        <v>485</v>
      </c>
      <c r="D320" s="1477"/>
      <c r="E320" s="1477"/>
      <c r="F320" s="1477"/>
      <c r="G320" s="1477"/>
      <c r="H320" s="1478"/>
      <c r="I320" s="868">
        <f t="shared" si="19"/>
        <v>0.02</v>
      </c>
      <c r="J320" s="758">
        <f>ROUND(($J$311/(1-$I$179))*I320,2)</f>
        <v>0</v>
      </c>
      <c r="K320" s="900"/>
      <c r="L320" s="900"/>
    </row>
    <row r="321" spans="2:12" ht="15.75" hidden="1" customHeight="1" outlineLevel="1">
      <c r="B321" s="1585" t="s">
        <v>441</v>
      </c>
      <c r="C321" s="1477"/>
      <c r="D321" s="1477"/>
      <c r="E321" s="1477"/>
      <c r="F321" s="1477"/>
      <c r="G321" s="1477"/>
      <c r="H321" s="1477"/>
      <c r="I321" s="1478"/>
      <c r="J321" s="788">
        <f>SUM(J308+J310+J314+J315+J320)</f>
        <v>0</v>
      </c>
      <c r="K321" s="900"/>
      <c r="L321" s="900"/>
    </row>
    <row r="322" spans="2:12" ht="15.75" hidden="1" customHeight="1" outlineLevel="1">
      <c r="B322" s="908"/>
      <c r="C322" s="908"/>
      <c r="D322" s="908"/>
      <c r="E322" s="908"/>
      <c r="F322" s="908"/>
      <c r="G322" s="908"/>
      <c r="H322" s="908"/>
      <c r="I322" s="908"/>
      <c r="J322" s="908"/>
      <c r="K322" s="900"/>
      <c r="L322" s="900"/>
    </row>
    <row r="323" spans="2:12" ht="15.75" hidden="1" customHeight="1" outlineLevel="1">
      <c r="B323" s="1572" t="s">
        <v>577</v>
      </c>
      <c r="C323" s="1477"/>
      <c r="D323" s="1477"/>
      <c r="E323" s="1477"/>
      <c r="F323" s="1477"/>
      <c r="G323" s="1477"/>
      <c r="H323" s="1477"/>
      <c r="I323" s="1478"/>
      <c r="J323" s="863" t="s">
        <v>390</v>
      </c>
      <c r="K323" s="900"/>
      <c r="L323" s="900"/>
    </row>
    <row r="324" spans="2:12" ht="15.75" hidden="1" customHeight="1" outlineLevel="1">
      <c r="B324" s="880" t="s">
        <v>312</v>
      </c>
      <c r="C324" s="1599" t="s">
        <v>494</v>
      </c>
      <c r="D324" s="1477"/>
      <c r="E324" s="1477"/>
      <c r="F324" s="1477"/>
      <c r="G324" s="1477"/>
      <c r="H324" s="1477"/>
      <c r="I324" s="1477"/>
      <c r="J324" s="881">
        <v>0</v>
      </c>
      <c r="K324" s="900"/>
      <c r="L324" s="900"/>
    </row>
    <row r="325" spans="2:12" ht="15.75" hidden="1" customHeight="1" outlineLevel="1">
      <c r="B325" s="880" t="s">
        <v>314</v>
      </c>
      <c r="C325" s="1599" t="s">
        <v>578</v>
      </c>
      <c r="D325" s="1477"/>
      <c r="E325" s="1477"/>
      <c r="F325" s="1477"/>
      <c r="G325" s="1477"/>
      <c r="H325" s="1477"/>
      <c r="I325" s="1477"/>
      <c r="J325" s="881">
        <f>J304</f>
        <v>0</v>
      </c>
      <c r="K325" s="900"/>
      <c r="L325" s="900"/>
    </row>
    <row r="326" spans="2:12" ht="15.75" hidden="1" customHeight="1" outlineLevel="1">
      <c r="B326" s="880" t="s">
        <v>316</v>
      </c>
      <c r="C326" s="1599" t="s">
        <v>496</v>
      </c>
      <c r="D326" s="1477"/>
      <c r="E326" s="1477"/>
      <c r="F326" s="1477"/>
      <c r="G326" s="1477"/>
      <c r="H326" s="1477"/>
      <c r="I326" s="1477"/>
      <c r="J326" s="881">
        <v>0</v>
      </c>
      <c r="K326" s="900"/>
      <c r="L326" s="900"/>
    </row>
    <row r="327" spans="2:12" ht="15.75" hidden="1" customHeight="1" outlineLevel="1">
      <c r="B327" s="880" t="s">
        <v>318</v>
      </c>
      <c r="C327" s="1599" t="s">
        <v>497</v>
      </c>
      <c r="D327" s="1477"/>
      <c r="E327" s="1477"/>
      <c r="F327" s="1477"/>
      <c r="G327" s="1477"/>
      <c r="H327" s="1477"/>
      <c r="I327" s="1477"/>
      <c r="J327" s="881">
        <v>0</v>
      </c>
      <c r="K327" s="900"/>
      <c r="L327" s="900"/>
    </row>
    <row r="328" spans="2:12" ht="15.75" hidden="1" customHeight="1" outlineLevel="1">
      <c r="B328" s="880" t="s">
        <v>360</v>
      </c>
      <c r="C328" s="1599" t="s">
        <v>498</v>
      </c>
      <c r="D328" s="1477"/>
      <c r="E328" s="1477"/>
      <c r="F328" s="1477"/>
      <c r="G328" s="1477"/>
      <c r="H328" s="1477"/>
      <c r="I328" s="1477"/>
      <c r="J328" s="881">
        <v>0</v>
      </c>
      <c r="K328" s="900"/>
      <c r="L328" s="900"/>
    </row>
    <row r="329" spans="2:12" ht="15.75" hidden="1" customHeight="1" outlineLevel="1">
      <c r="B329" s="1600" t="s">
        <v>499</v>
      </c>
      <c r="C329" s="1477"/>
      <c r="D329" s="1477"/>
      <c r="E329" s="1477"/>
      <c r="F329" s="1477"/>
      <c r="G329" s="1477"/>
      <c r="H329" s="1477"/>
      <c r="I329" s="1521"/>
      <c r="J329" s="857">
        <f>SUM(J324:J328)</f>
        <v>0</v>
      </c>
      <c r="K329" s="900"/>
      <c r="L329" s="900"/>
    </row>
    <row r="330" spans="2:12" ht="15.75" hidden="1" customHeight="1" outlineLevel="1">
      <c r="B330" s="882" t="s">
        <v>364</v>
      </c>
      <c r="C330" s="1599" t="s">
        <v>471</v>
      </c>
      <c r="D330" s="1477"/>
      <c r="E330" s="1477"/>
      <c r="F330" s="1477"/>
      <c r="G330" s="1477"/>
      <c r="H330" s="1477"/>
      <c r="I330" s="1477"/>
      <c r="J330" s="881">
        <f>J321</f>
        <v>0</v>
      </c>
      <c r="K330" s="900"/>
      <c r="L330" s="900"/>
    </row>
    <row r="331" spans="2:12" ht="15.75" hidden="1" customHeight="1" outlineLevel="1">
      <c r="B331" s="1600" t="s">
        <v>579</v>
      </c>
      <c r="C331" s="1477"/>
      <c r="D331" s="1477"/>
      <c r="E331" s="1477"/>
      <c r="F331" s="1477"/>
      <c r="G331" s="1477"/>
      <c r="H331" s="1477"/>
      <c r="I331" s="1521"/>
      <c r="J331" s="954">
        <f>ROUND(J325+J321,2)</f>
        <v>0</v>
      </c>
      <c r="K331" s="897" t="s">
        <v>580</v>
      </c>
      <c r="L331" s="897" t="str">
        <f>L295</f>
        <v>2394-25_PSICOPEGAGOGO_20h</v>
      </c>
    </row>
    <row r="332" spans="2:12" ht="15.75" hidden="1" customHeight="1" outlineLevel="1">
      <c r="B332" s="908"/>
      <c r="C332" s="908"/>
      <c r="D332" s="908"/>
      <c r="E332" s="908"/>
      <c r="F332" s="908"/>
      <c r="G332" s="908"/>
      <c r="H332" s="908"/>
      <c r="I332" s="908"/>
      <c r="J332" s="908"/>
      <c r="K332" s="900"/>
      <c r="L332" s="900"/>
    </row>
    <row r="333" spans="2:12" ht="15.75" hidden="1" customHeight="1" outlineLevel="1">
      <c r="B333" s="1606" t="s">
        <v>581</v>
      </c>
      <c r="C333" s="1477"/>
      <c r="D333" s="1477"/>
      <c r="E333" s="1477"/>
      <c r="F333" s="1477"/>
      <c r="G333" s="1477"/>
      <c r="H333" s="1477"/>
      <c r="I333" s="1477"/>
      <c r="J333" s="1478"/>
      <c r="K333" s="900"/>
    </row>
    <row r="334" spans="2:12" ht="63" hidden="1" customHeight="1" outlineLevel="1">
      <c r="B334" s="1607" t="s">
        <v>503</v>
      </c>
      <c r="C334" s="1575"/>
      <c r="D334" s="1575"/>
      <c r="E334" s="1608"/>
      <c r="F334" s="955" t="s">
        <v>582</v>
      </c>
      <c r="G334" s="956" t="s">
        <v>1030</v>
      </c>
      <c r="H334" s="957" t="s">
        <v>506</v>
      </c>
      <c r="I334" s="1607" t="s">
        <v>507</v>
      </c>
      <c r="J334" s="1608"/>
      <c r="K334" s="900"/>
    </row>
    <row r="335" spans="2:12" ht="42" hidden="1" customHeight="1" outlineLevel="1">
      <c r="B335" s="1609" t="str">
        <f>B203</f>
        <v>2394-25_PSICOPEGAGOGO_20h</v>
      </c>
      <c r="C335" s="1477"/>
      <c r="D335" s="1477"/>
      <c r="E335" s="1478"/>
      <c r="F335" s="958">
        <f>J331</f>
        <v>0</v>
      </c>
      <c r="G335" s="959">
        <f>G203</f>
        <v>1</v>
      </c>
      <c r="H335" s="960">
        <f>H207</f>
        <v>1</v>
      </c>
      <c r="I335" s="1610">
        <f>F335*G335</f>
        <v>0</v>
      </c>
      <c r="J335" s="1478"/>
      <c r="K335" s="900"/>
    </row>
    <row r="336" spans="2:12" ht="15.75" hidden="1" customHeight="1" outlineLevel="1">
      <c r="B336" s="1562"/>
      <c r="C336" s="1477"/>
      <c r="D336" s="1477"/>
      <c r="E336" s="1477"/>
      <c r="F336" s="1477"/>
      <c r="G336" s="1477"/>
      <c r="H336" s="1477"/>
      <c r="I336" s="1477"/>
      <c r="J336" s="1478"/>
      <c r="K336" s="900"/>
    </row>
    <row r="337" spans="2:11" ht="15.75" hidden="1" customHeight="1" outlineLevel="1">
      <c r="B337" s="1563" t="s">
        <v>584</v>
      </c>
      <c r="C337" s="1477"/>
      <c r="D337" s="1477"/>
      <c r="E337" s="1477"/>
      <c r="F337" s="1477"/>
      <c r="G337" s="1478"/>
      <c r="H337" s="1564">
        <f>I335</f>
        <v>0</v>
      </c>
      <c r="I337" s="1477"/>
      <c r="J337" s="1478"/>
      <c r="K337" s="900"/>
    </row>
    <row r="338" spans="2:11" ht="15.75" hidden="1" customHeight="1" outlineLevel="1">
      <c r="B338" s="1565"/>
      <c r="C338" s="1528"/>
      <c r="D338" s="1528"/>
      <c r="E338" s="1528"/>
      <c r="F338" s="1528"/>
      <c r="G338" s="1528"/>
      <c r="H338" s="1528"/>
      <c r="I338" s="1528"/>
      <c r="J338" s="1566"/>
      <c r="K338" s="900"/>
    </row>
    <row r="339" spans="2:11" ht="15.75" hidden="1" customHeight="1" outlineLevel="1">
      <c r="B339" s="1563" t="s">
        <v>517</v>
      </c>
      <c r="C339" s="1477"/>
      <c r="D339" s="1477"/>
      <c r="E339" s="1477"/>
      <c r="F339" s="1477"/>
      <c r="G339" s="1478"/>
      <c r="H339" s="1567">
        <f>$I$11</f>
        <v>30</v>
      </c>
      <c r="I339" s="1477"/>
      <c r="J339" s="1478"/>
      <c r="K339" s="900"/>
    </row>
    <row r="340" spans="2:11" ht="15.75" hidden="1" customHeight="1" outlineLevel="1">
      <c r="B340" s="1568"/>
      <c r="C340" s="1477"/>
      <c r="D340" s="1477"/>
      <c r="E340" s="1477"/>
      <c r="F340" s="1477"/>
      <c r="G340" s="1477"/>
      <c r="H340" s="1477"/>
      <c r="I340" s="1477"/>
      <c r="J340" s="1478"/>
      <c r="K340" s="900"/>
    </row>
    <row r="341" spans="2:11" ht="15.75" hidden="1" customHeight="1" outlineLevel="1">
      <c r="B341" s="1563" t="s">
        <v>1031</v>
      </c>
      <c r="C341" s="1477"/>
      <c r="D341" s="1477"/>
      <c r="E341" s="1477"/>
      <c r="F341" s="1477"/>
      <c r="G341" s="1478"/>
      <c r="H341" s="1569">
        <f>ROUND(H337*H339,2)</f>
        <v>0</v>
      </c>
      <c r="I341" s="1477"/>
      <c r="J341" s="1478"/>
      <c r="K341" s="900"/>
    </row>
    <row r="342" spans="2:11" ht="15.75" hidden="1" customHeight="1" outlineLevel="1">
      <c r="B342" s="1570"/>
      <c r="C342" s="1477"/>
      <c r="D342" s="1477"/>
      <c r="E342" s="1477"/>
      <c r="F342" s="1477"/>
      <c r="G342" s="1477"/>
      <c r="H342" s="1477"/>
      <c r="I342" s="1477"/>
      <c r="J342" s="1478"/>
      <c r="K342" s="962"/>
    </row>
    <row r="343" spans="2:11" ht="15.75" hidden="1" customHeight="1" outlineLevel="1">
      <c r="B343" s="963"/>
      <c r="C343" s="964"/>
      <c r="D343" s="964"/>
      <c r="E343" s="964"/>
      <c r="F343" s="965"/>
      <c r="G343" s="965"/>
      <c r="H343" s="965"/>
      <c r="I343" s="966"/>
      <c r="J343" s="967"/>
      <c r="K343" s="904"/>
    </row>
    <row r="344" spans="2:11" ht="30" hidden="1" customHeight="1" outlineLevel="1">
      <c r="B344" s="1591" t="str">
        <f>B3</f>
        <v>2394-25_PSICOPEGAGOGO_20h</v>
      </c>
      <c r="C344" s="1419"/>
      <c r="D344" s="1419"/>
      <c r="E344" s="1592"/>
      <c r="F344" s="968">
        <f>I203</f>
        <v>5861.0400000000009</v>
      </c>
      <c r="G344" s="969">
        <f>G203</f>
        <v>1</v>
      </c>
      <c r="H344" s="969">
        <f>H207</f>
        <v>1</v>
      </c>
      <c r="I344" s="970">
        <f>F344*H344</f>
        <v>5861.0400000000009</v>
      </c>
      <c r="J344" s="971">
        <f>I344*H339</f>
        <v>175831.2</v>
      </c>
      <c r="K344" s="900"/>
    </row>
    <row r="345" spans="2:11" ht="30" hidden="1" customHeight="1" outlineLevel="1">
      <c r="B345" s="1593" t="str">
        <f>B219</f>
        <v>CALCULO DO CUSTO EXCLUSIVO de HORAS EXTRAS</v>
      </c>
      <c r="C345" s="1594"/>
      <c r="D345" s="1594"/>
      <c r="E345" s="1595"/>
      <c r="F345" s="972">
        <f>J295</f>
        <v>0</v>
      </c>
      <c r="G345" s="969">
        <f t="shared" ref="G345:H345" si="21">G344</f>
        <v>1</v>
      </c>
      <c r="H345" s="969">
        <f t="shared" si="21"/>
        <v>1</v>
      </c>
      <c r="I345" s="970">
        <f>IF(H335&gt;=1, F345*1, 0)</f>
        <v>0</v>
      </c>
      <c r="J345" s="971">
        <f>I345*H339</f>
        <v>0</v>
      </c>
      <c r="K345" s="900"/>
    </row>
    <row r="346" spans="2:11" ht="30" hidden="1" customHeight="1" outlineLevel="1">
      <c r="B346" s="1596" t="str">
        <f>B297</f>
        <v xml:space="preserve">CALCULO DO CUSTO EXCLUSIVO das DIÁRIAS </v>
      </c>
      <c r="C346" s="1597"/>
      <c r="D346" s="1597"/>
      <c r="E346" s="1598"/>
      <c r="F346" s="973">
        <f>J331</f>
        <v>0</v>
      </c>
      <c r="G346" s="974">
        <f t="shared" ref="G346:H346" si="22">G345</f>
        <v>1</v>
      </c>
      <c r="H346" s="974">
        <f t="shared" si="22"/>
        <v>1</v>
      </c>
      <c r="I346" s="975">
        <f>IF(H335&gt;=1, F346*1, 0)</f>
        <v>0</v>
      </c>
      <c r="J346" s="976">
        <f>I346*H339</f>
        <v>0</v>
      </c>
      <c r="K346" s="900"/>
    </row>
    <row r="347" spans="2:11" ht="42" hidden="1" customHeight="1" outlineLevel="1">
      <c r="B347" s="977" t="s">
        <v>586</v>
      </c>
      <c r="C347" s="978"/>
      <c r="D347" s="979" t="str">
        <f>G297</f>
        <v>2394-25_PSICOPEGAGOGO_20h</v>
      </c>
      <c r="E347" s="978"/>
      <c r="F347" s="978"/>
      <c r="G347" s="978"/>
      <c r="H347" s="978"/>
      <c r="I347" s="980"/>
      <c r="J347" s="981">
        <f>J344+J345+J346</f>
        <v>175831.2</v>
      </c>
      <c r="K347" s="900"/>
    </row>
    <row r="348" spans="2:11" ht="15.75" customHeight="1">
      <c r="B348" s="908"/>
      <c r="C348" s="908"/>
      <c r="D348" s="908"/>
      <c r="E348" s="908"/>
      <c r="F348" s="908"/>
      <c r="G348" s="908"/>
      <c r="H348" s="908"/>
      <c r="I348" s="908"/>
      <c r="J348" s="1072"/>
      <c r="K348" s="900"/>
    </row>
    <row r="349" spans="2:11" ht="15.75" customHeight="1"/>
    <row r="350" spans="2:11" ht="15.75" customHeight="1"/>
    <row r="351" spans="2:11" ht="15.75" customHeight="1"/>
    <row r="352" spans="2:11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386">
    <mergeCell ref="B208:J208"/>
    <mergeCell ref="B209:J209"/>
    <mergeCell ref="I204:J204"/>
    <mergeCell ref="I205:J205"/>
    <mergeCell ref="I206:J206"/>
    <mergeCell ref="I207:J207"/>
    <mergeCell ref="B201:E201"/>
    <mergeCell ref="B202:E202"/>
    <mergeCell ref="F202:G202"/>
    <mergeCell ref="I202:J202"/>
    <mergeCell ref="B203:E203"/>
    <mergeCell ref="B204:E204"/>
    <mergeCell ref="F204:G204"/>
    <mergeCell ref="B205:E205"/>
    <mergeCell ref="F205:G205"/>
    <mergeCell ref="B206:E206"/>
    <mergeCell ref="F206:G206"/>
    <mergeCell ref="B207:G207"/>
    <mergeCell ref="B195:I195"/>
    <mergeCell ref="B196:J196"/>
    <mergeCell ref="B197:J197"/>
    <mergeCell ref="B199:J199"/>
    <mergeCell ref="B200:E200"/>
    <mergeCell ref="I200:J200"/>
    <mergeCell ref="F201:G201"/>
    <mergeCell ref="I201:J201"/>
    <mergeCell ref="I203:J203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C194:I194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C169:H169"/>
    <mergeCell ref="C170:H170"/>
    <mergeCell ref="C171:H171"/>
    <mergeCell ref="C172:H172"/>
    <mergeCell ref="C173:H173"/>
    <mergeCell ref="C174:H174"/>
    <mergeCell ref="C175:H175"/>
    <mergeCell ref="C176:H176"/>
    <mergeCell ref="B177:I177"/>
    <mergeCell ref="B159:J159"/>
    <mergeCell ref="B161:J161"/>
    <mergeCell ref="C162:H162"/>
    <mergeCell ref="B163:H163"/>
    <mergeCell ref="C164:H164"/>
    <mergeCell ref="B165:H165"/>
    <mergeCell ref="C166:H166"/>
    <mergeCell ref="B167:H167"/>
    <mergeCell ref="C168:H168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41:J141"/>
    <mergeCell ref="C142:I142"/>
    <mergeCell ref="C143:I143"/>
    <mergeCell ref="B144:I144"/>
    <mergeCell ref="B145:J145"/>
    <mergeCell ref="B146:J146"/>
    <mergeCell ref="C147:I147"/>
    <mergeCell ref="C148:I148"/>
    <mergeCell ref="C149:I149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H121"/>
    <mergeCell ref="C105:E105"/>
    <mergeCell ref="F105:H105"/>
    <mergeCell ref="C106:I106"/>
    <mergeCell ref="B107:J107"/>
    <mergeCell ref="B108:J108"/>
    <mergeCell ref="B109:J109"/>
    <mergeCell ref="B110:J110"/>
    <mergeCell ref="C111:I111"/>
    <mergeCell ref="C112:I112"/>
    <mergeCell ref="C96:G96"/>
    <mergeCell ref="C97:I97"/>
    <mergeCell ref="C98:H98"/>
    <mergeCell ref="C99:G99"/>
    <mergeCell ref="C100:G100"/>
    <mergeCell ref="C101:I101"/>
    <mergeCell ref="C102:I102"/>
    <mergeCell ref="C103:I103"/>
    <mergeCell ref="C104:I104"/>
    <mergeCell ref="B88:J88"/>
    <mergeCell ref="B89:J89"/>
    <mergeCell ref="B90:J90"/>
    <mergeCell ref="C91:I91"/>
    <mergeCell ref="C92:H92"/>
    <mergeCell ref="C93:H93"/>
    <mergeCell ref="C94:H94"/>
    <mergeCell ref="C95:E95"/>
    <mergeCell ref="F95:G95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333:J333"/>
    <mergeCell ref="B334:E334"/>
    <mergeCell ref="I334:J334"/>
    <mergeCell ref="B335:E335"/>
    <mergeCell ref="I335:J33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B323:I323"/>
    <mergeCell ref="C324:I324"/>
    <mergeCell ref="C325:I325"/>
    <mergeCell ref="C326:I326"/>
    <mergeCell ref="C327:I327"/>
    <mergeCell ref="C328:I328"/>
    <mergeCell ref="B329:I329"/>
    <mergeCell ref="C330:I330"/>
    <mergeCell ref="B331:I331"/>
    <mergeCell ref="C313:H313"/>
    <mergeCell ref="C314:H314"/>
    <mergeCell ref="C315:H315"/>
    <mergeCell ref="C316:H316"/>
    <mergeCell ref="C317:H317"/>
    <mergeCell ref="C318:H318"/>
    <mergeCell ref="C319:H319"/>
    <mergeCell ref="C320:H320"/>
    <mergeCell ref="B321:I321"/>
    <mergeCell ref="B302:B303"/>
    <mergeCell ref="C304:I304"/>
    <mergeCell ref="C306:H306"/>
    <mergeCell ref="B307:H307"/>
    <mergeCell ref="C308:H308"/>
    <mergeCell ref="B309:H309"/>
    <mergeCell ref="C310:H310"/>
    <mergeCell ref="B311:H311"/>
    <mergeCell ref="C312:H312"/>
    <mergeCell ref="C289:I289"/>
    <mergeCell ref="C290:I290"/>
    <mergeCell ref="C291:I291"/>
    <mergeCell ref="C292:I292"/>
    <mergeCell ref="B293:I293"/>
    <mergeCell ref="C294:I294"/>
    <mergeCell ref="B295:I295"/>
    <mergeCell ref="B299:J299"/>
    <mergeCell ref="C300:I300"/>
    <mergeCell ref="C277:H277"/>
    <mergeCell ref="C278:H278"/>
    <mergeCell ref="C279:H279"/>
    <mergeCell ref="B341:G341"/>
    <mergeCell ref="H341:J341"/>
    <mergeCell ref="B342:J342"/>
    <mergeCell ref="B344:E344"/>
    <mergeCell ref="B345:E345"/>
    <mergeCell ref="B346:E346"/>
    <mergeCell ref="B336:J336"/>
    <mergeCell ref="B337:G337"/>
    <mergeCell ref="H337:J337"/>
    <mergeCell ref="B338:J338"/>
    <mergeCell ref="B339:G339"/>
    <mergeCell ref="H339:J339"/>
    <mergeCell ref="B340:J340"/>
    <mergeCell ref="C280:H280"/>
    <mergeCell ref="C281:H281"/>
    <mergeCell ref="C282:H282"/>
    <mergeCell ref="C283:H283"/>
    <mergeCell ref="C284:H284"/>
    <mergeCell ref="B285:I285"/>
    <mergeCell ref="B287:I287"/>
    <mergeCell ref="C288:I288"/>
    <mergeCell ref="C250:I250"/>
    <mergeCell ref="C251:H251"/>
    <mergeCell ref="C252:I252"/>
    <mergeCell ref="C253:H253"/>
    <mergeCell ref="B254:I254"/>
    <mergeCell ref="B273:H273"/>
    <mergeCell ref="C274:H274"/>
    <mergeCell ref="B275:H275"/>
    <mergeCell ref="C276:H276"/>
    <mergeCell ref="C240:H240"/>
    <mergeCell ref="C241:H241"/>
    <mergeCell ref="C242:H242"/>
    <mergeCell ref="C243:H243"/>
    <mergeCell ref="C244:H244"/>
    <mergeCell ref="B245:H245"/>
    <mergeCell ref="B247:J247"/>
    <mergeCell ref="C248:I248"/>
    <mergeCell ref="C249:I249"/>
    <mergeCell ref="B230:J230"/>
    <mergeCell ref="C231:I231"/>
    <mergeCell ref="C232:H232"/>
    <mergeCell ref="C233:H233"/>
    <mergeCell ref="B234:I234"/>
    <mergeCell ref="C236:H236"/>
    <mergeCell ref="C237:H237"/>
    <mergeCell ref="C238:H238"/>
    <mergeCell ref="C239:D239"/>
    <mergeCell ref="B267:I267"/>
    <mergeCell ref="B269:J269"/>
    <mergeCell ref="C270:H270"/>
    <mergeCell ref="B271:H271"/>
    <mergeCell ref="C272:H272"/>
    <mergeCell ref="B210:J210"/>
    <mergeCell ref="B211:G211"/>
    <mergeCell ref="H211:J211"/>
    <mergeCell ref="B212:J212"/>
    <mergeCell ref="B213:G213"/>
    <mergeCell ref="H213:J213"/>
    <mergeCell ref="B214:J214"/>
    <mergeCell ref="B215:G215"/>
    <mergeCell ref="H215:J215"/>
    <mergeCell ref="B216:J216"/>
    <mergeCell ref="B220:J220"/>
    <mergeCell ref="C221:H221"/>
    <mergeCell ref="C222:E222"/>
    <mergeCell ref="C223:E223"/>
    <mergeCell ref="C224:E224"/>
    <mergeCell ref="C225:E225"/>
    <mergeCell ref="C226:I226"/>
    <mergeCell ref="B227:I227"/>
    <mergeCell ref="B229:J229"/>
    <mergeCell ref="B256:J256"/>
    <mergeCell ref="B259:J259"/>
    <mergeCell ref="C260:I260"/>
    <mergeCell ref="C261:G261"/>
    <mergeCell ref="C262:I262"/>
    <mergeCell ref="C263:I263"/>
    <mergeCell ref="C264:I264"/>
    <mergeCell ref="C265:I265"/>
    <mergeCell ref="C266:I266"/>
  </mergeCells>
  <conditionalFormatting sqref="I48:I50">
    <cfRule type="cellIs" dxfId="70" priority="3" operator="equal">
      <formula>0</formula>
    </cfRule>
  </conditionalFormatting>
  <conditionalFormatting sqref="I121">
    <cfRule type="cellIs" dxfId="69" priority="2" operator="notEqual">
      <formula>"OK"</formula>
    </cfRule>
  </conditionalFormatting>
  <conditionalFormatting sqref="J133">
    <cfRule type="cellIs" dxfId="68" priority="5" operator="equal">
      <formula>0</formula>
    </cfRule>
  </conditionalFormatting>
  <conditionalFormatting sqref="J261">
    <cfRule type="cellIs" dxfId="67" priority="1" operator="equal">
      <formula>0</formula>
    </cfRule>
  </conditionalFormatting>
  <pageMargins left="0.511811024" right="0.511811024" top="0.78740157499999996" bottom="0.78740157499999996" header="0" footer="0"/>
  <pageSetup scale="52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BD4B4"/>
  </sheetPr>
  <dimension ref="A1:Z1000"/>
  <sheetViews>
    <sheetView tabSelected="1" view="pageBreakPreview" topLeftCell="A39" zoomScale="60" zoomScaleNormal="100"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28.453125" customWidth="1"/>
    <col min="4" max="4" width="25" customWidth="1"/>
    <col min="5" max="5" width="31.08984375" customWidth="1"/>
    <col min="6" max="6" width="28.81640625" customWidth="1"/>
    <col min="7" max="7" width="25" customWidth="1"/>
    <col min="8" max="8" width="34.81640625" customWidth="1"/>
    <col min="9" max="9" width="24.54296875" customWidth="1"/>
    <col min="10" max="10" width="29.26953125" customWidth="1"/>
    <col min="11" max="11" width="21.54296875" hidden="1" customWidth="1"/>
    <col min="12" max="12" width="45.08984375" hidden="1" customWidth="1"/>
    <col min="13" max="26" width="14.453125" hidden="1"/>
  </cols>
  <sheetData>
    <row r="1" spans="1:11" ht="11.25" customHeight="1">
      <c r="A1" s="1031" t="b">
        <v>1</v>
      </c>
      <c r="B1" s="1032" t="s">
        <v>308</v>
      </c>
      <c r="C1" s="1033"/>
      <c r="D1" s="1033"/>
      <c r="E1" s="1033"/>
      <c r="F1" s="1033"/>
      <c r="G1" s="1033"/>
      <c r="H1" s="1033"/>
      <c r="I1" s="1033"/>
      <c r="J1" s="1033"/>
      <c r="K1" s="1031"/>
    </row>
    <row r="2" spans="1:11" ht="17.25" customHeight="1">
      <c r="A2" s="1031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</row>
    <row r="3" spans="1:11" ht="20.25" customHeight="1">
      <c r="A3" s="1031"/>
      <c r="B3" s="1737" t="str">
        <f>'1-ABA-DE-CARREGAMENTO'!I33</f>
        <v>3341-10_MONITOR-de-ALUNOS_40h</v>
      </c>
      <c r="C3" s="1575"/>
      <c r="D3" s="1575"/>
      <c r="E3" s="1575"/>
      <c r="F3" s="1575"/>
      <c r="G3" s="1575"/>
      <c r="H3" s="1575"/>
      <c r="I3" s="1575"/>
      <c r="J3" s="1608"/>
      <c r="K3" s="720"/>
    </row>
    <row r="4" spans="1:11" ht="17.25" customHeight="1">
      <c r="A4" s="1031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</row>
    <row r="5" spans="1:11" ht="17.25" customHeight="1">
      <c r="A5" s="1031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</row>
    <row r="6" spans="1:11" ht="17.25" customHeight="1">
      <c r="A6" s="1031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</row>
    <row r="7" spans="1:11" ht="17.25" customHeight="1">
      <c r="A7" s="1031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</row>
    <row r="8" spans="1:11" ht="17.25" customHeight="1">
      <c r="A8" s="1031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</row>
    <row r="9" spans="1:11" ht="17.25" customHeight="1">
      <c r="A9" s="1031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</row>
    <row r="10" spans="1:11" ht="17.25" customHeight="1">
      <c r="A10" s="1031"/>
      <c r="B10" s="696" t="b">
        <v>1</v>
      </c>
      <c r="C10" s="1577" t="s">
        <v>317</v>
      </c>
      <c r="D10" s="1477"/>
      <c r="E10" s="1477"/>
      <c r="F10" s="1477"/>
      <c r="G10" s="1477"/>
      <c r="H10" s="1478"/>
      <c r="I10" s="1636" t="str">
        <f>'1-ABA-DE-CARREGAMENTO'!I35</f>
        <v>RS000041/2026</v>
      </c>
      <c r="J10" s="1478"/>
      <c r="K10" s="721"/>
    </row>
    <row r="11" spans="1:11" ht="17.25" customHeight="1">
      <c r="A11" s="1031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'1-ABA-DE-CARREGAMENTO'!I94</f>
        <v>30</v>
      </c>
      <c r="J11" s="1478"/>
      <c r="K11" s="721"/>
    </row>
    <row r="12" spans="1:11" ht="17.25" customHeight="1">
      <c r="A12" s="1031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</row>
    <row r="13" spans="1:11" ht="25.5" customHeight="1">
      <c r="A13" s="1031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</row>
    <row r="14" spans="1:11" ht="11.25" hidden="1" customHeight="1" outlineLevel="1">
      <c r="A14" s="1031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</row>
    <row r="15" spans="1:11" ht="11.25" hidden="1" customHeight="1" outlineLevel="1">
      <c r="A15" s="1031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</row>
    <row r="16" spans="1:11" ht="11.25" hidden="1" customHeight="1" outlineLevel="1">
      <c r="A16" s="1031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</row>
    <row r="17" spans="1:11" ht="11.25" customHeight="1" collapsed="1">
      <c r="A17" s="1031"/>
      <c r="B17" s="1611" t="str">
        <f>B3</f>
        <v>3341-10_MONITOR-de-ALUNOS_40h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'1-ABA-DE-CARREGAMENTO'!I92</f>
        <v>0</v>
      </c>
      <c r="J17" s="1478"/>
      <c r="K17" s="728"/>
    </row>
    <row r="18" spans="1:11" ht="11.25" hidden="1" customHeight="1" outlineLevel="1">
      <c r="A18" s="1031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</row>
    <row r="19" spans="1:11" ht="11.25" hidden="1" customHeight="1" outlineLevel="1">
      <c r="A19" s="1031"/>
      <c r="B19" s="1611" t="s">
        <v>1032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</row>
    <row r="20" spans="1:11" ht="11.25" customHeight="1" collapsed="1">
      <c r="A20" s="1031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0</v>
      </c>
      <c r="J20" s="1478"/>
      <c r="K20" s="729"/>
    </row>
    <row r="21" spans="1:11" ht="11.25" customHeight="1">
      <c r="A21" s="1031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</row>
    <row r="22" spans="1:11" ht="44.25" customHeight="1">
      <c r="A22" s="1031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</row>
    <row r="23" spans="1:11" ht="11.25" customHeight="1">
      <c r="A23" s="1031"/>
      <c r="B23" s="1618"/>
      <c r="C23" s="1477"/>
      <c r="D23" s="1477"/>
      <c r="E23" s="1477"/>
      <c r="F23" s="1477"/>
      <c r="G23" s="1477"/>
      <c r="H23" s="1477"/>
      <c r="I23" s="1477"/>
      <c r="J23" s="1478"/>
      <c r="K23" s="459"/>
    </row>
    <row r="24" spans="1:11" ht="53.25" customHeight="1">
      <c r="A24" s="1031"/>
      <c r="B24" s="1726" t="s">
        <v>1033</v>
      </c>
      <c r="C24" s="1477"/>
      <c r="D24" s="1477"/>
      <c r="E24" s="1477"/>
      <c r="F24" s="1477"/>
      <c r="G24" s="1477"/>
      <c r="H24" s="1477"/>
      <c r="I24" s="1477"/>
      <c r="J24" s="1478"/>
      <c r="K24" s="1034"/>
    </row>
    <row r="25" spans="1:11" ht="15" customHeight="1">
      <c r="A25" s="1031"/>
      <c r="B25" s="1727"/>
      <c r="C25" s="1477"/>
      <c r="D25" s="1477"/>
      <c r="E25" s="1477"/>
      <c r="F25" s="1477"/>
      <c r="G25" s="1477"/>
      <c r="H25" s="1477"/>
      <c r="I25" s="1477"/>
      <c r="J25" s="1478"/>
      <c r="K25" s="1035"/>
    </row>
    <row r="26" spans="1:11" ht="22.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</row>
    <row r="27" spans="1:11" ht="31.5" customHeight="1">
      <c r="A27" s="1031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'1-ABA-DE-CARREGAMENTO'!I33</f>
        <v>3341-10_MONITOR-de-ALUNOS_40h</v>
      </c>
      <c r="J27" s="1478"/>
      <c r="K27" s="732"/>
    </row>
    <row r="28" spans="1:11" ht="18" customHeight="1">
      <c r="A28" s="1031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624" t="str">
        <f>LEFT(I27,7)</f>
        <v>3341-10</v>
      </c>
      <c r="J28" s="1478"/>
      <c r="K28" s="734"/>
    </row>
    <row r="29" spans="1:11" ht="56.25" customHeight="1">
      <c r="A29" s="1031"/>
      <c r="B29" s="696">
        <v>3</v>
      </c>
      <c r="C29" s="1625" t="s">
        <v>336</v>
      </c>
      <c r="D29" s="1468"/>
      <c r="E29" s="1036">
        <v>220</v>
      </c>
      <c r="F29" s="737">
        <f>'1-ABA-DE-CARREGAMENTO'!I37</f>
        <v>2161.0500000000002</v>
      </c>
      <c r="G29" s="738" t="s">
        <v>337</v>
      </c>
      <c r="H29" s="739">
        <v>200</v>
      </c>
      <c r="I29" s="1626">
        <f>F29</f>
        <v>2161.0500000000002</v>
      </c>
      <c r="J29" s="1478"/>
      <c r="K29" s="1037"/>
    </row>
    <row r="30" spans="1:11" ht="11.25" customHeight="1">
      <c r="A30" s="1031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</row>
    <row r="31" spans="1:11" ht="11.25" customHeight="1">
      <c r="A31" s="1031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'1-ABA-DE-CARREGAMENTO'!I36</f>
        <v>01 de JANEIRO</v>
      </c>
      <c r="J31" s="1478"/>
      <c r="K31" s="742"/>
    </row>
    <row r="32" spans="1:11" ht="24.75" customHeight="1">
      <c r="A32" s="1031"/>
      <c r="B32" s="1038">
        <v>6</v>
      </c>
      <c r="C32" s="1560" t="s">
        <v>1034</v>
      </c>
      <c r="D32" s="1477"/>
      <c r="E32" s="1477"/>
      <c r="F32" s="1477"/>
      <c r="G32" s="1477"/>
      <c r="H32" s="1478"/>
      <c r="I32" s="1630">
        <f>ROUND(F29/200,2)</f>
        <v>10.81</v>
      </c>
      <c r="J32" s="1478"/>
      <c r="K32" s="744"/>
    </row>
    <row r="33" spans="1:11" ht="42.75" customHeight="1">
      <c r="A33" s="1031"/>
      <c r="B33" s="1038">
        <v>7</v>
      </c>
      <c r="C33" s="1560" t="s">
        <v>1035</v>
      </c>
      <c r="D33" s="1477"/>
      <c r="E33" s="1477"/>
      <c r="F33" s="1478"/>
      <c r="G33" s="1631"/>
      <c r="H33" s="1478"/>
      <c r="I33" s="1632">
        <f>(I32*I50)+I32</f>
        <v>12.972000000000001</v>
      </c>
      <c r="J33" s="1478"/>
      <c r="K33" s="744"/>
    </row>
    <row r="34" spans="1:11" ht="33" customHeight="1">
      <c r="A34" s="1031"/>
      <c r="B34" s="1038">
        <v>8</v>
      </c>
      <c r="C34" s="1560" t="s">
        <v>1036</v>
      </c>
      <c r="D34" s="1477"/>
      <c r="E34" s="1477"/>
      <c r="F34" s="1478"/>
      <c r="G34" s="1631"/>
      <c r="H34" s="1478"/>
      <c r="I34" s="1630">
        <f t="shared" ref="I34:I35" si="0">I32*1.5</f>
        <v>16.215</v>
      </c>
      <c r="J34" s="1478"/>
      <c r="K34" s="744"/>
    </row>
    <row r="35" spans="1:11" ht="33" customHeight="1">
      <c r="A35" s="1031"/>
      <c r="B35" s="1038">
        <v>9</v>
      </c>
      <c r="C35" s="1560" t="s">
        <v>1037</v>
      </c>
      <c r="D35" s="1477"/>
      <c r="E35" s="1477"/>
      <c r="F35" s="1478"/>
      <c r="G35" s="1631" t="s">
        <v>344</v>
      </c>
      <c r="H35" s="1478"/>
      <c r="I35" s="1632">
        <f t="shared" si="0"/>
        <v>19.458000000000002</v>
      </c>
      <c r="J35" s="1478"/>
      <c r="K35" s="1039"/>
    </row>
    <row r="36" spans="1:11" ht="33" customHeight="1">
      <c r="A36" s="1031"/>
      <c r="B36" s="1038">
        <v>10</v>
      </c>
      <c r="C36" s="1560" t="s">
        <v>1038</v>
      </c>
      <c r="D36" s="1477"/>
      <c r="E36" s="1477"/>
      <c r="F36" s="1477"/>
      <c r="G36" s="1477"/>
      <c r="H36" s="1478"/>
      <c r="I36" s="1642">
        <f>I33*1.2</f>
        <v>15.566400000000002</v>
      </c>
      <c r="J36" s="1478"/>
      <c r="K36" s="744"/>
    </row>
    <row r="37" spans="1:11" ht="33" customHeight="1">
      <c r="A37" s="1031"/>
      <c r="B37" s="1038">
        <v>11</v>
      </c>
      <c r="C37" s="1560" t="s">
        <v>1039</v>
      </c>
      <c r="D37" s="1477"/>
      <c r="E37" s="1477"/>
      <c r="F37" s="1477"/>
      <c r="G37" s="1477"/>
      <c r="H37" s="1478"/>
      <c r="I37" s="1643">
        <f>I33*2</f>
        <v>25.944000000000003</v>
      </c>
      <c r="J37" s="1478"/>
      <c r="K37" s="744"/>
    </row>
    <row r="38" spans="1:11" ht="33" customHeight="1">
      <c r="A38" s="1031"/>
      <c r="B38" s="1038">
        <v>12</v>
      </c>
      <c r="C38" s="1560" t="s">
        <v>1040</v>
      </c>
      <c r="D38" s="1477"/>
      <c r="E38" s="1477"/>
      <c r="F38" s="1477"/>
      <c r="G38" s="1477"/>
      <c r="H38" s="1478"/>
      <c r="I38" s="1630">
        <f>I29*'1-ABA-DE-CARREGAMENTO'!D44</f>
        <v>0</v>
      </c>
      <c r="J38" s="1478"/>
      <c r="K38" s="744"/>
    </row>
    <row r="39" spans="1:11" ht="14.25" customHeight="1">
      <c r="A39" s="1031"/>
      <c r="B39" s="1038">
        <v>13</v>
      </c>
      <c r="C39" s="1560" t="s">
        <v>348</v>
      </c>
      <c r="D39" s="1477"/>
      <c r="E39" s="1477"/>
      <c r="F39" s="1477"/>
      <c r="G39" s="1477"/>
      <c r="H39" s="1478"/>
      <c r="I39" s="1630">
        <f>ROUND(I32/6,2)*1.3*0</f>
        <v>0</v>
      </c>
      <c r="J39" s="1478"/>
      <c r="K39" s="744"/>
    </row>
    <row r="40" spans="1:11" ht="29.25" customHeight="1">
      <c r="A40" s="1031"/>
      <c r="B40" s="746">
        <v>14</v>
      </c>
      <c r="C40" s="1646" t="s">
        <v>349</v>
      </c>
      <c r="D40" s="1647"/>
      <c r="E40" s="1647"/>
      <c r="F40" s="1647"/>
      <c r="G40" s="1647"/>
      <c r="H40" s="1648"/>
      <c r="I40" s="1649">
        <f>'1-ABA-DE-CARREGAMENTO'!I93</f>
        <v>1</v>
      </c>
      <c r="J40" s="1650"/>
      <c r="K40" s="1040"/>
    </row>
    <row r="41" spans="1:11" ht="17.25" customHeight="1">
      <c r="A41" s="1031"/>
      <c r="B41" s="1038">
        <v>15</v>
      </c>
      <c r="C41" s="1651" t="s">
        <v>350</v>
      </c>
      <c r="D41" s="1575"/>
      <c r="E41" s="1575"/>
      <c r="F41" s="1575"/>
      <c r="G41" s="1575"/>
      <c r="H41" s="1608"/>
      <c r="I41" s="1714">
        <f>'1-ABA-DE-CARREGAMENTO'!E42</f>
        <v>1621</v>
      </c>
      <c r="J41" s="1478"/>
      <c r="K41" s="749"/>
    </row>
    <row r="42" spans="1:11" ht="11.25" customHeight="1">
      <c r="A42" s="1031"/>
      <c r="B42" s="1618"/>
      <c r="C42" s="1477"/>
      <c r="D42" s="1477"/>
      <c r="E42" s="1477"/>
      <c r="F42" s="1477"/>
      <c r="G42" s="1477"/>
      <c r="H42" s="1477"/>
      <c r="I42" s="1477"/>
      <c r="J42" s="1478"/>
      <c r="K42" s="459"/>
    </row>
    <row r="43" spans="1:11" ht="24" customHeight="1">
      <c r="A43" s="1031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</row>
    <row r="44" spans="1:11" ht="14.25" customHeight="1">
      <c r="A44" s="1031"/>
      <c r="B44" s="1728"/>
      <c r="C44" s="1477"/>
      <c r="D44" s="1477"/>
      <c r="E44" s="1477"/>
      <c r="F44" s="1477"/>
      <c r="G44" s="1477"/>
      <c r="H44" s="1477"/>
      <c r="I44" s="1477"/>
      <c r="J44" s="1478"/>
      <c r="K44" s="1041"/>
    </row>
    <row r="45" spans="1:11" ht="20.25" customHeight="1">
      <c r="A45" s="1031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</row>
    <row r="46" spans="1:11" ht="25.5" customHeight="1">
      <c r="A46" s="104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753" t="s">
        <v>355</v>
      </c>
      <c r="K46" s="727"/>
    </row>
    <row r="47" spans="1:11" ht="19.5" customHeight="1">
      <c r="A47" s="1031"/>
      <c r="B47" s="696" t="s">
        <v>312</v>
      </c>
      <c r="C47" s="1577" t="s">
        <v>1041</v>
      </c>
      <c r="D47" s="1477"/>
      <c r="E47" s="1477"/>
      <c r="F47" s="1478"/>
      <c r="G47" s="755" t="s">
        <v>52</v>
      </c>
      <c r="H47" s="756">
        <f>'1-ABA-DE-CARREGAMENTO'!I52</f>
        <v>200</v>
      </c>
      <c r="I47" s="755"/>
      <c r="J47" s="758">
        <f>I29*I40</f>
        <v>2161.0500000000002</v>
      </c>
      <c r="K47" s="1043"/>
    </row>
    <row r="48" spans="1:11" ht="20.25" customHeight="1">
      <c r="A48" s="1031"/>
      <c r="B48" s="696" t="s">
        <v>314</v>
      </c>
      <c r="C48" s="1577" t="s">
        <v>1042</v>
      </c>
      <c r="D48" s="1477"/>
      <c r="E48" s="1477"/>
      <c r="F48" s="1654" t="str">
        <f>'1-ABA-DE-CARREGAMENTO'!I38</f>
        <v>SEM ADICIONAL DE FUNÇÃO</v>
      </c>
      <c r="G48" s="1477"/>
      <c r="H48" s="1478"/>
      <c r="I48" s="994">
        <f>'1-ABA-DE-CARREGAMENTO'!I39</f>
        <v>0</v>
      </c>
      <c r="J48" s="758">
        <f>J47*I48</f>
        <v>0</v>
      </c>
      <c r="K48" s="1043"/>
    </row>
    <row r="49" spans="1:13" ht="27.75" customHeight="1">
      <c r="A49" s="1031"/>
      <c r="B49" s="696" t="s">
        <v>316</v>
      </c>
      <c r="C49" s="1577" t="s">
        <v>1043</v>
      </c>
      <c r="D49" s="1477"/>
      <c r="E49" s="1477"/>
      <c r="F49" s="1477"/>
      <c r="G49" s="1477"/>
      <c r="H49" s="1478"/>
      <c r="I49" s="871">
        <f>'1-ABA-DE-CARREGAMENTO'!I44</f>
        <v>0</v>
      </c>
      <c r="J49" s="758">
        <f>ROUND(J47*I49,2)</f>
        <v>0</v>
      </c>
      <c r="K49" s="1043"/>
    </row>
    <row r="50" spans="1:13" ht="26.25" customHeight="1">
      <c r="A50" s="1031"/>
      <c r="B50" s="696" t="s">
        <v>318</v>
      </c>
      <c r="C50" s="1577" t="s">
        <v>1044</v>
      </c>
      <c r="D50" s="1477"/>
      <c r="E50" s="1477"/>
      <c r="F50" s="1477"/>
      <c r="G50" s="1720" t="str">
        <f>'1-ABA-DE-CARREGAMENTO'!I40</f>
        <v>INSALUB S/NORMATIVO</v>
      </c>
      <c r="H50" s="1623"/>
      <c r="I50" s="762">
        <f>'1-ABA-DE-CARREGAMENTO'!I41</f>
        <v>0.2</v>
      </c>
      <c r="J50" s="758">
        <f>ROUND(I50*I29,2)</f>
        <v>432.21</v>
      </c>
      <c r="K50" s="1043"/>
    </row>
    <row r="51" spans="1:13" ht="39.75" hidden="1" customHeight="1" outlineLevel="1">
      <c r="A51" s="1031"/>
      <c r="B51" s="696" t="s">
        <v>360</v>
      </c>
      <c r="C51" s="1573" t="s">
        <v>1045</v>
      </c>
      <c r="D51" s="1477"/>
      <c r="E51" s="1478"/>
      <c r="F51" s="763" t="s">
        <v>362</v>
      </c>
      <c r="G51" s="764">
        <v>0</v>
      </c>
      <c r="H51" s="763" t="s">
        <v>363</v>
      </c>
      <c r="I51" s="765">
        <f>I36</f>
        <v>15.566400000000002</v>
      </c>
      <c r="J51" s="1083">
        <f>G51*I51</f>
        <v>0</v>
      </c>
      <c r="K51" s="1043"/>
    </row>
    <row r="52" spans="1:13" ht="39.75" hidden="1" customHeight="1" outlineLevel="1">
      <c r="A52" s="1031"/>
      <c r="B52" s="696" t="s">
        <v>364</v>
      </c>
      <c r="C52" s="1656" t="s">
        <v>1046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1043"/>
    </row>
    <row r="53" spans="1:13" ht="30.75" hidden="1" customHeight="1" outlineLevel="1">
      <c r="A53" s="1031"/>
      <c r="B53" s="696" t="s">
        <v>366</v>
      </c>
      <c r="C53" s="1656" t="s">
        <v>1047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1043"/>
    </row>
    <row r="54" spans="1:13" ht="26.25" hidden="1" customHeight="1" outlineLevel="1">
      <c r="A54" s="1031"/>
      <c r="B54" s="696" t="s">
        <v>368</v>
      </c>
      <c r="C54" s="1735" t="s">
        <v>1048</v>
      </c>
      <c r="D54" s="1575"/>
      <c r="E54" s="1575"/>
      <c r="F54" s="1080" t="s">
        <v>370</v>
      </c>
      <c r="G54" s="1081">
        <v>0</v>
      </c>
      <c r="H54" s="1080" t="s">
        <v>371</v>
      </c>
      <c r="I54" s="1082">
        <f>I35</f>
        <v>19.458000000000002</v>
      </c>
      <c r="J54" s="1083">
        <f t="shared" ref="J54:J55" si="1">G54*I54</f>
        <v>0</v>
      </c>
      <c r="K54" s="1043"/>
    </row>
    <row r="55" spans="1:13" ht="26.25" hidden="1" customHeight="1" outlineLevel="1">
      <c r="A55" s="1031"/>
      <c r="B55" s="696" t="s">
        <v>372</v>
      </c>
      <c r="C55" s="1736" t="s">
        <v>1049</v>
      </c>
      <c r="D55" s="1419"/>
      <c r="E55" s="1419"/>
      <c r="F55" s="1080" t="s">
        <v>374</v>
      </c>
      <c r="G55" s="1081">
        <v>0</v>
      </c>
      <c r="H55" s="1080" t="s">
        <v>375</v>
      </c>
      <c r="I55" s="1082">
        <f>I37</f>
        <v>25.944000000000003</v>
      </c>
      <c r="J55" s="1084">
        <f t="shared" si="1"/>
        <v>0</v>
      </c>
      <c r="K55" s="1043"/>
    </row>
    <row r="56" spans="1:13" ht="39" customHeight="1" collapsed="1">
      <c r="A56" s="1031"/>
      <c r="B56" s="696" t="s">
        <v>376</v>
      </c>
      <c r="C56" s="1577" t="s">
        <v>1050</v>
      </c>
      <c r="D56" s="1477"/>
      <c r="E56" s="1477"/>
      <c r="F56" s="1477"/>
      <c r="G56" s="1477"/>
      <c r="H56" s="1477"/>
      <c r="I56" s="1478"/>
      <c r="J56" s="758">
        <f>ROUND(((J54+J55)/25)*5,2)</f>
        <v>0</v>
      </c>
      <c r="K56" s="1043"/>
    </row>
    <row r="57" spans="1:13" ht="28.5" customHeight="1">
      <c r="A57" s="1031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1046"/>
    </row>
    <row r="58" spans="1:13" ht="35.25" customHeight="1">
      <c r="A58" s="1031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2593.2600000000002</v>
      </c>
      <c r="K58" s="1047"/>
    </row>
    <row r="59" spans="1:13" ht="14.25" customHeight="1">
      <c r="A59" s="1031"/>
      <c r="B59" s="773"/>
      <c r="C59" s="1657"/>
      <c r="D59" s="1477"/>
      <c r="E59" s="1477"/>
      <c r="F59" s="1477"/>
      <c r="G59" s="1477"/>
      <c r="H59" s="1477"/>
      <c r="I59" s="1478"/>
      <c r="J59" s="774"/>
      <c r="K59" s="1047"/>
    </row>
    <row r="60" spans="1:13" ht="29.25" customHeight="1">
      <c r="A60" s="1031"/>
      <c r="B60" s="696" t="s">
        <v>368</v>
      </c>
      <c r="C60" s="1732" t="s">
        <v>1051</v>
      </c>
      <c r="D60" s="1477"/>
      <c r="E60" s="1477"/>
      <c r="F60" s="1477"/>
      <c r="G60" s="1477"/>
      <c r="H60" s="1477"/>
      <c r="I60" s="1478"/>
      <c r="J60" s="1028">
        <f>ROUND(I34*15*I40*0.5,2)*0</f>
        <v>0</v>
      </c>
      <c r="K60" s="1074"/>
      <c r="L60" s="2"/>
      <c r="M60" s="2"/>
    </row>
    <row r="61" spans="1:13" ht="39" customHeight="1">
      <c r="A61" s="1031"/>
      <c r="B61" s="1572" t="s">
        <v>1052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1047"/>
    </row>
    <row r="62" spans="1:13" ht="11.25" customHeight="1">
      <c r="A62" s="1031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</row>
    <row r="63" spans="1:13" ht="47.25" customHeight="1">
      <c r="A63" s="1031"/>
      <c r="B63" s="1578" t="s">
        <v>1053</v>
      </c>
      <c r="C63" s="1477"/>
      <c r="D63" s="1477"/>
      <c r="E63" s="1477"/>
      <c r="F63" s="1477"/>
      <c r="G63" s="1477"/>
      <c r="H63" s="1477"/>
      <c r="I63" s="1478"/>
      <c r="J63" s="775">
        <f>J58+J61</f>
        <v>2593.2600000000002</v>
      </c>
      <c r="K63" s="776"/>
    </row>
    <row r="64" spans="1:13" ht="11.25" customHeight="1">
      <c r="A64" s="1031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</row>
    <row r="65" spans="1:11" ht="28.5" customHeight="1">
      <c r="A65" s="1031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</row>
    <row r="66" spans="1:11" ht="11.25" customHeight="1">
      <c r="A66" s="1031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</row>
    <row r="67" spans="1:11" ht="21.75" customHeight="1">
      <c r="A67" s="1031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1048"/>
    </row>
    <row r="68" spans="1:11" ht="20.25" customHeight="1">
      <c r="A68" s="1031"/>
      <c r="B68" s="1580" t="s">
        <v>1054</v>
      </c>
      <c r="C68" s="1477"/>
      <c r="D68" s="1477"/>
      <c r="E68" s="1477"/>
      <c r="F68" s="1477"/>
      <c r="G68" s="1477"/>
      <c r="H68" s="1477"/>
      <c r="I68" s="1477"/>
      <c r="J68" s="1478"/>
      <c r="K68" s="931"/>
    </row>
    <row r="69" spans="1:11" ht="15" customHeight="1">
      <c r="A69" s="1031"/>
      <c r="B69" s="781" t="s">
        <v>388</v>
      </c>
      <c r="C69" s="1659" t="s">
        <v>1055</v>
      </c>
      <c r="D69" s="1477"/>
      <c r="E69" s="1477"/>
      <c r="F69" s="1477"/>
      <c r="G69" s="1477"/>
      <c r="H69" s="1477"/>
      <c r="I69" s="1478"/>
      <c r="J69" s="782" t="s">
        <v>390</v>
      </c>
      <c r="K69" s="783"/>
    </row>
    <row r="70" spans="1:11" ht="31.5" customHeight="1">
      <c r="A70" s="1031"/>
      <c r="B70" s="781" t="s">
        <v>312</v>
      </c>
      <c r="C70" s="1656" t="s">
        <v>1056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216.02</v>
      </c>
      <c r="K70" s="786"/>
    </row>
    <row r="71" spans="1:11" ht="67.5" customHeight="1">
      <c r="A71" s="1031"/>
      <c r="B71" s="781" t="s">
        <v>314</v>
      </c>
      <c r="C71" s="1582" t="s">
        <v>1057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78.45</v>
      </c>
      <c r="K71" s="786"/>
    </row>
    <row r="72" spans="1:11" ht="11.25" customHeight="1">
      <c r="A72" s="1031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294.47000000000003</v>
      </c>
      <c r="K72" s="1049"/>
    </row>
    <row r="73" spans="1:11" ht="14.25" customHeight="1">
      <c r="A73" s="1031"/>
      <c r="B73" s="1661"/>
      <c r="C73" s="1477"/>
      <c r="D73" s="1477"/>
      <c r="E73" s="1477"/>
      <c r="F73" s="1477"/>
      <c r="G73" s="1477"/>
      <c r="H73" s="1477"/>
      <c r="I73" s="1477"/>
      <c r="J73" s="1478"/>
      <c r="K73" s="1050"/>
    </row>
    <row r="74" spans="1:11" ht="11.25" customHeight="1">
      <c r="A74" s="1031"/>
      <c r="B74" s="1653" t="s">
        <v>1058</v>
      </c>
      <c r="C74" s="1477"/>
      <c r="D74" s="1477"/>
      <c r="E74" s="1477"/>
      <c r="F74" s="1477"/>
      <c r="G74" s="1477"/>
      <c r="H74" s="1477"/>
      <c r="I74" s="1477"/>
      <c r="J74" s="1478"/>
      <c r="K74" s="750"/>
    </row>
    <row r="75" spans="1:11" ht="14.25" customHeight="1">
      <c r="A75" s="1031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</row>
    <row r="76" spans="1:11" ht="38.25" customHeight="1">
      <c r="A76" s="1031"/>
      <c r="B76" s="1663" t="s">
        <v>1059</v>
      </c>
      <c r="C76" s="1477"/>
      <c r="D76" s="1477"/>
      <c r="E76" s="1477"/>
      <c r="F76" s="1477"/>
      <c r="G76" s="1477"/>
      <c r="H76" s="1477"/>
      <c r="I76" s="1477"/>
      <c r="J76" s="1478"/>
      <c r="K76" s="780"/>
    </row>
    <row r="77" spans="1:11" ht="30" customHeight="1">
      <c r="A77" s="1031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</row>
    <row r="78" spans="1:11" ht="16.5" customHeight="1">
      <c r="A78" s="1031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577.54999999999995</v>
      </c>
      <c r="K78" s="1049"/>
    </row>
    <row r="79" spans="1:11" ht="16.5" customHeight="1">
      <c r="A79" s="1031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72.19</v>
      </c>
      <c r="K79" s="1049"/>
    </row>
    <row r="80" spans="1:11" ht="52.5" customHeight="1">
      <c r="A80" s="1031"/>
      <c r="B80" s="794" t="s">
        <v>316</v>
      </c>
      <c r="C80" s="1577" t="s">
        <v>1060</v>
      </c>
      <c r="D80" s="1478"/>
      <c r="E80" s="1051" t="s">
        <v>402</v>
      </c>
      <c r="F80" s="1052">
        <f>'1-ABA-DE-CARREGAMENTO'!I57</f>
        <v>0</v>
      </c>
      <c r="G80" s="1051" t="s">
        <v>403</v>
      </c>
      <c r="H80" s="1053">
        <f>'1-ABA-DE-CARREGAMENTO'!I58</f>
        <v>1</v>
      </c>
      <c r="I80" s="799">
        <f>ROUND((F80*H80),6)</f>
        <v>0</v>
      </c>
      <c r="J80" s="796">
        <f>ROUND((J58+J72)*I80,2)</f>
        <v>0</v>
      </c>
      <c r="K80" s="1049"/>
    </row>
    <row r="81" spans="1:11" ht="16.5" customHeight="1">
      <c r="A81" s="1031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43.32</v>
      </c>
      <c r="K81" s="1049"/>
    </row>
    <row r="82" spans="1:11" ht="16.5" customHeight="1">
      <c r="A82" s="1031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28.88</v>
      </c>
      <c r="K82" s="1049"/>
    </row>
    <row r="83" spans="1:11" ht="16.5" customHeight="1">
      <c r="A83" s="1031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17.329999999999998</v>
      </c>
      <c r="K83" s="1049"/>
    </row>
    <row r="84" spans="1:11" ht="16.5" customHeight="1">
      <c r="A84" s="1031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5.78</v>
      </c>
      <c r="K84" s="1049"/>
    </row>
    <row r="85" spans="1:11" ht="28.5" customHeight="1">
      <c r="A85" s="1031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231.02</v>
      </c>
      <c r="K85" s="1049"/>
    </row>
    <row r="86" spans="1:11" ht="12" customHeight="1">
      <c r="A86" s="1031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2">SUM(I78:I85)</f>
        <v>0.33800000000000002</v>
      </c>
      <c r="J86" s="788">
        <f t="shared" si="2"/>
        <v>976.07</v>
      </c>
      <c r="K86" s="1049"/>
    </row>
    <row r="87" spans="1:11" ht="12" customHeight="1">
      <c r="A87" s="1031"/>
      <c r="B87" s="801"/>
      <c r="C87" s="802"/>
      <c r="D87" s="802"/>
      <c r="E87" s="802"/>
      <c r="F87" s="802"/>
      <c r="G87" s="802"/>
      <c r="H87" s="802"/>
      <c r="I87" s="803"/>
      <c r="J87" s="804"/>
      <c r="K87" s="1049"/>
    </row>
    <row r="88" spans="1:11" ht="37.5" customHeight="1">
      <c r="A88" s="1031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</row>
    <row r="89" spans="1:11" ht="18.75" customHeight="1">
      <c r="A89" s="1031"/>
      <c r="B89" s="1618"/>
      <c r="C89" s="1477"/>
      <c r="D89" s="1477"/>
      <c r="E89" s="1477"/>
      <c r="F89" s="1477"/>
      <c r="G89" s="1477"/>
      <c r="H89" s="1477"/>
      <c r="I89" s="1477"/>
      <c r="J89" s="1478"/>
      <c r="K89" s="459"/>
    </row>
    <row r="90" spans="1:11" ht="15" customHeight="1">
      <c r="A90" s="1031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931"/>
    </row>
    <row r="91" spans="1:11" ht="15" customHeight="1">
      <c r="A91" s="1031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</row>
    <row r="92" spans="1:11" ht="15" customHeight="1">
      <c r="A92" s="1031"/>
      <c r="B92" s="743" t="s">
        <v>312</v>
      </c>
      <c r="C92" s="1577" t="s">
        <v>1061</v>
      </c>
      <c r="D92" s="1477"/>
      <c r="E92" s="1477"/>
      <c r="F92" s="1477"/>
      <c r="G92" s="1477"/>
      <c r="H92" s="1478"/>
      <c r="I92" s="807">
        <f>J47</f>
        <v>2161.0500000000002</v>
      </c>
      <c r="J92" s="808">
        <f>IF(ROUND((I93*I95*I94)-(J47*I96),2)&lt;0,0,ROUND((I93*I95*I94)-(J47*I96),2))</f>
        <v>149.96</v>
      </c>
      <c r="K92" s="1049"/>
    </row>
    <row r="93" spans="1:11" ht="28.5" customHeight="1">
      <c r="A93" s="1031"/>
      <c r="B93" s="743" t="s">
        <v>314</v>
      </c>
      <c r="C93" s="1577" t="s">
        <v>1062</v>
      </c>
      <c r="D93" s="1477"/>
      <c r="E93" s="1477"/>
      <c r="F93" s="1477"/>
      <c r="G93" s="1477"/>
      <c r="H93" s="1477"/>
      <c r="I93" s="809">
        <f>'1-ABA-DE-CARREGAMENTO'!I72</f>
        <v>6.82</v>
      </c>
      <c r="J93" s="810" t="s">
        <v>325</v>
      </c>
      <c r="K93" s="1046"/>
    </row>
    <row r="94" spans="1:11" ht="19.5" customHeight="1">
      <c r="A94" s="1031"/>
      <c r="B94" s="743" t="s">
        <v>316</v>
      </c>
      <c r="C94" s="1577" t="s">
        <v>1063</v>
      </c>
      <c r="D94" s="1477"/>
      <c r="E94" s="1477"/>
      <c r="F94" s="1477"/>
      <c r="G94" s="1477"/>
      <c r="H94" s="1478"/>
      <c r="I94" s="811">
        <f>'1-ABA-DE-CARREGAMENTO'!I73</f>
        <v>2</v>
      </c>
      <c r="J94" s="810" t="s">
        <v>325</v>
      </c>
      <c r="K94" s="1046"/>
    </row>
    <row r="95" spans="1:11" ht="19.5" customHeight="1">
      <c r="A95" s="1031"/>
      <c r="B95" s="743" t="s">
        <v>318</v>
      </c>
      <c r="C95" s="1665" t="s">
        <v>415</v>
      </c>
      <c r="D95" s="1477"/>
      <c r="E95" s="1477"/>
      <c r="F95" s="1477"/>
      <c r="G95" s="1477"/>
      <c r="H95" s="812">
        <f>I93*I94*I95</f>
        <v>279.62</v>
      </c>
      <c r="I95" s="813">
        <f>'1-ABA-DE-CARREGAMENTO'!I74</f>
        <v>20.5</v>
      </c>
      <c r="J95" s="810" t="s">
        <v>325</v>
      </c>
      <c r="K95" s="1046"/>
    </row>
    <row r="96" spans="1:11" ht="24" customHeight="1">
      <c r="A96" s="1031"/>
      <c r="B96" s="743" t="s">
        <v>360</v>
      </c>
      <c r="C96" s="1665" t="s">
        <v>1064</v>
      </c>
      <c r="D96" s="1477"/>
      <c r="E96" s="1477"/>
      <c r="F96" s="1477"/>
      <c r="G96" s="1477"/>
      <c r="H96" s="812">
        <f>I96*J47</f>
        <v>129.66300000000001</v>
      </c>
      <c r="I96" s="814">
        <f>'1-ABA-DE-CARREGAMENTO'!I75</f>
        <v>0.06</v>
      </c>
      <c r="J96" s="815" t="s">
        <v>325</v>
      </c>
      <c r="K96" s="1046"/>
    </row>
    <row r="97" spans="1:11" ht="15" customHeight="1">
      <c r="A97" s="1031"/>
      <c r="B97" s="743" t="s">
        <v>364</v>
      </c>
      <c r="C97" s="1577" t="s">
        <v>1065</v>
      </c>
      <c r="D97" s="1477"/>
      <c r="E97" s="1477"/>
      <c r="F97" s="1477"/>
      <c r="G97" s="1477"/>
      <c r="H97" s="1477"/>
      <c r="I97" s="1477"/>
      <c r="J97" s="808">
        <f>ROUND(I98*I99,2)-ROUND((I98*I99)*I100,2)</f>
        <v>450.83000000000004</v>
      </c>
      <c r="K97" s="1049"/>
    </row>
    <row r="98" spans="1:11" ht="15" customHeight="1">
      <c r="A98" s="1031"/>
      <c r="B98" s="743" t="s">
        <v>366</v>
      </c>
      <c r="C98" s="1577" t="s">
        <v>1066</v>
      </c>
      <c r="D98" s="1477"/>
      <c r="E98" s="1477"/>
      <c r="F98" s="1477"/>
      <c r="G98" s="1477"/>
      <c r="H98" s="1477"/>
      <c r="I98" s="816">
        <f>IF('1-ABA-DE-CARREGAMENTO'!I60&gt;0,'1-ABA-DE-CARREGAMENTO'!I60,'1-ABA-DE-CARREGAMENTO'!I63)</f>
        <v>27.15</v>
      </c>
      <c r="J98" s="817"/>
      <c r="K98" s="1046"/>
    </row>
    <row r="99" spans="1:11" ht="15" customHeight="1">
      <c r="A99" s="1031"/>
      <c r="B99" s="743" t="s">
        <v>368</v>
      </c>
      <c r="C99" s="1665" t="s">
        <v>1067</v>
      </c>
      <c r="D99" s="1477"/>
      <c r="E99" s="1477"/>
      <c r="F99" s="1477"/>
      <c r="G99" s="1477"/>
      <c r="H99" s="812">
        <f>I98*I99</f>
        <v>556.57499999999993</v>
      </c>
      <c r="I99" s="818">
        <f>'1-ABA-DE-CARREGAMENTO'!I62</f>
        <v>20.5</v>
      </c>
      <c r="J99" s="817"/>
      <c r="K99" s="1046"/>
    </row>
    <row r="100" spans="1:11" ht="30" customHeight="1">
      <c r="A100" s="1031"/>
      <c r="B100" s="794" t="s">
        <v>372</v>
      </c>
      <c r="C100" s="1665" t="s">
        <v>1068</v>
      </c>
      <c r="D100" s="1477"/>
      <c r="E100" s="1477"/>
      <c r="F100" s="1477"/>
      <c r="G100" s="1477"/>
      <c r="H100" s="812">
        <f>(I98*I99)*I100</f>
        <v>105.74924999999999</v>
      </c>
      <c r="I100" s="814">
        <f>'1-ABA-DE-CARREGAMENTO'!I61</f>
        <v>0.19</v>
      </c>
      <c r="J100" s="1087"/>
      <c r="K100" s="1046"/>
    </row>
    <row r="101" spans="1:11" ht="15" customHeight="1" outlineLevel="1">
      <c r="A101" s="1031"/>
      <c r="B101" s="743" t="s">
        <v>376</v>
      </c>
      <c r="C101" s="1628" t="s">
        <v>421</v>
      </c>
      <c r="D101" s="1575"/>
      <c r="E101" s="1575"/>
      <c r="F101" s="1575"/>
      <c r="G101" s="1575"/>
      <c r="H101" s="1575"/>
      <c r="I101" s="1575"/>
      <c r="J101" s="820">
        <f>'1-ABA-DE-CARREGAMENTO'!I64</f>
        <v>80</v>
      </c>
      <c r="K101" s="1049"/>
    </row>
    <row r="102" spans="1:11" ht="33.75" customHeight="1" outlineLevel="1">
      <c r="A102" s="1031"/>
      <c r="B102" s="743" t="s">
        <v>379</v>
      </c>
      <c r="C102" s="1577" t="s">
        <v>1069</v>
      </c>
      <c r="D102" s="1477"/>
      <c r="E102" s="1477"/>
      <c r="F102" s="1477"/>
      <c r="G102" s="1477"/>
      <c r="H102" s="1477"/>
      <c r="I102" s="1477"/>
      <c r="J102" s="796">
        <f>'1-ABA-DE-CARREGAMENTO'!I77</f>
        <v>15.507694800000003</v>
      </c>
      <c r="K102" s="1049"/>
    </row>
    <row r="103" spans="1:11" ht="33.75" customHeight="1" outlineLevel="1">
      <c r="A103" s="1031"/>
      <c r="B103" s="743" t="s">
        <v>423</v>
      </c>
      <c r="C103" s="1577" t="s">
        <v>1070</v>
      </c>
      <c r="D103" s="1477"/>
      <c r="E103" s="1477"/>
      <c r="F103" s="1477"/>
      <c r="G103" s="1477"/>
      <c r="H103" s="1477"/>
      <c r="I103" s="1478"/>
      <c r="J103" s="796">
        <v>0</v>
      </c>
      <c r="K103" s="1049"/>
    </row>
    <row r="104" spans="1:11" ht="16.5" customHeight="1" outlineLevel="1">
      <c r="A104" s="1031"/>
      <c r="B104" s="743" t="s">
        <v>425</v>
      </c>
      <c r="C104" s="1577" t="s">
        <v>1071</v>
      </c>
      <c r="D104" s="1477"/>
      <c r="E104" s="1477"/>
      <c r="F104" s="1477"/>
      <c r="G104" s="1477"/>
      <c r="H104" s="1477"/>
      <c r="I104" s="1478"/>
      <c r="J104" s="796">
        <f>'1-ABA-DE-CARREGAMENTO'!I76</f>
        <v>25.52</v>
      </c>
      <c r="K104" s="1049"/>
    </row>
    <row r="105" spans="1:11" ht="38.25" customHeight="1">
      <c r="A105" s="1031"/>
      <c r="B105" s="743" t="s">
        <v>53</v>
      </c>
      <c r="C105" s="1715" t="s">
        <v>427</v>
      </c>
      <c r="D105" s="1477"/>
      <c r="E105" s="1521"/>
      <c r="F105" s="1668" t="s">
        <v>428</v>
      </c>
      <c r="G105" s="1477"/>
      <c r="H105" s="1521"/>
      <c r="I105" s="998">
        <v>526.64</v>
      </c>
      <c r="J105" s="999">
        <f>I105*0.2*I17</f>
        <v>0</v>
      </c>
      <c r="K105" s="789"/>
    </row>
    <row r="106" spans="1:11" ht="33.75" customHeight="1">
      <c r="A106" s="1031"/>
      <c r="B106" s="823"/>
      <c r="C106" s="1716" t="s">
        <v>429</v>
      </c>
      <c r="D106" s="1477"/>
      <c r="E106" s="1477"/>
      <c r="F106" s="1477"/>
      <c r="G106" s="1477"/>
      <c r="H106" s="1477"/>
      <c r="I106" s="1478"/>
      <c r="J106" s="1000">
        <f>SUM(J92:J105)</f>
        <v>721.81769480000003</v>
      </c>
      <c r="K106" s="1049"/>
    </row>
    <row r="107" spans="1:11" ht="17.25" customHeight="1">
      <c r="A107" s="1031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459"/>
    </row>
    <row r="108" spans="1:11" ht="45" customHeight="1">
      <c r="A108" s="1031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</row>
    <row r="109" spans="1:11" ht="19.5" customHeight="1">
      <c r="A109" s="1031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</row>
    <row r="110" spans="1:11" ht="19.5" customHeight="1">
      <c r="A110" s="1031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</row>
    <row r="111" spans="1:11" ht="19.5" customHeight="1">
      <c r="A111" s="1031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793" t="s">
        <v>390</v>
      </c>
      <c r="K111" s="783"/>
    </row>
    <row r="112" spans="1:11" ht="19.5" customHeight="1">
      <c r="A112" s="1031"/>
      <c r="B112" s="733" t="s">
        <v>388</v>
      </c>
      <c r="C112" s="1656" t="s">
        <v>1072</v>
      </c>
      <c r="D112" s="1477"/>
      <c r="E112" s="1477"/>
      <c r="F112" s="1477"/>
      <c r="G112" s="1477"/>
      <c r="H112" s="1477"/>
      <c r="I112" s="1478"/>
      <c r="J112" s="824">
        <f>J72</f>
        <v>294.47000000000003</v>
      </c>
      <c r="K112" s="825"/>
    </row>
    <row r="113" spans="1:11" ht="19.5" customHeight="1">
      <c r="A113" s="1031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976.07</v>
      </c>
      <c r="K113" s="825"/>
    </row>
    <row r="114" spans="1:11" ht="19.5" customHeight="1">
      <c r="A114" s="1031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721.81769480000003</v>
      </c>
      <c r="K114" s="825"/>
    </row>
    <row r="115" spans="1:11" ht="14.25" customHeight="1">
      <c r="A115" s="1031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1992.3576948</v>
      </c>
      <c r="K115" s="825"/>
    </row>
    <row r="116" spans="1:11" ht="14.25" customHeight="1">
      <c r="A116" s="1031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</row>
    <row r="117" spans="1:11" ht="18.75" customHeight="1">
      <c r="A117" s="1031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1054"/>
    </row>
    <row r="118" spans="1:11" ht="15.75" customHeight="1">
      <c r="A118" s="1031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805" t="s">
        <v>390</v>
      </c>
      <c r="K118" s="1055"/>
    </row>
    <row r="119" spans="1:11" ht="42" customHeight="1">
      <c r="A119" s="1031"/>
      <c r="B119" s="743" t="s">
        <v>312</v>
      </c>
      <c r="C119" s="1577" t="s">
        <v>1073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12.93</v>
      </c>
      <c r="K119" s="1049"/>
    </row>
    <row r="120" spans="1:11" ht="15.75" customHeight="1">
      <c r="A120" s="1031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1.03</v>
      </c>
      <c r="K120" s="1049"/>
    </row>
    <row r="121" spans="1:11" ht="87.75" customHeight="1">
      <c r="A121" s="1031"/>
      <c r="B121" s="743" t="s">
        <v>316</v>
      </c>
      <c r="C121" s="1672" t="s">
        <v>1074</v>
      </c>
      <c r="D121" s="1477"/>
      <c r="E121" s="1477"/>
      <c r="F121" s="1477"/>
      <c r="G121" s="1477"/>
      <c r="H121" s="1477"/>
      <c r="I121" s="830" t="str">
        <f>IF(J121&lt;J58*1.94%,"OK","VERIFIQUE")</f>
        <v>OK</v>
      </c>
      <c r="J121" s="796">
        <f>ROUND(((7/30)/$I$11)*$J$58*1,2)</f>
        <v>20.170000000000002</v>
      </c>
      <c r="K121" s="1049"/>
    </row>
    <row r="122" spans="1:11" ht="18.75" customHeight="1">
      <c r="A122" s="1031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6.82</v>
      </c>
      <c r="K122" s="1049"/>
    </row>
    <row r="123" spans="1:11" ht="34.5" customHeight="1">
      <c r="A123" s="1031"/>
      <c r="B123" s="743" t="s">
        <v>360</v>
      </c>
      <c r="C123" s="1577" t="s">
        <v>1075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103.73</v>
      </c>
      <c r="K123" s="1049"/>
    </row>
    <row r="124" spans="1:11" ht="19.5" customHeight="1">
      <c r="A124" s="1031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144.68</v>
      </c>
      <c r="K124" s="1049"/>
    </row>
    <row r="125" spans="1:11" ht="15.75" customHeight="1">
      <c r="A125" s="1031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1056"/>
    </row>
    <row r="126" spans="1:11" ht="17.25" customHeight="1">
      <c r="A126" s="1031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</row>
    <row r="127" spans="1:11" ht="42.75" customHeight="1">
      <c r="A127" s="1031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</row>
    <row r="128" spans="1:11" ht="66" customHeight="1">
      <c r="A128" s="1031"/>
      <c r="B128" s="1663" t="s">
        <v>1076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</row>
    <row r="129" spans="1:11" ht="43.5" customHeight="1">
      <c r="A129" s="1031"/>
      <c r="B129" s="832" t="s">
        <v>445</v>
      </c>
      <c r="C129" s="833">
        <f>J58</f>
        <v>2593.2600000000002</v>
      </c>
      <c r="D129" s="834" t="s">
        <v>446</v>
      </c>
      <c r="E129" s="1002" t="s">
        <v>1077</v>
      </c>
      <c r="F129" s="1003">
        <f>J115-J92-J97-J105</f>
        <v>1391.5676948</v>
      </c>
      <c r="G129" s="834" t="s">
        <v>446</v>
      </c>
      <c r="H129" s="832" t="s">
        <v>448</v>
      </c>
      <c r="I129" s="833">
        <f>J124</f>
        <v>144.68</v>
      </c>
      <c r="J129" s="835">
        <f>C129+F129+I129</f>
        <v>4129.5076948000005</v>
      </c>
      <c r="K129" s="836"/>
    </row>
    <row r="130" spans="1:11" ht="15" customHeight="1">
      <c r="A130" s="1031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</row>
    <row r="131" spans="1:11" ht="15.75" customHeight="1">
      <c r="A131" s="1031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</row>
    <row r="132" spans="1:11" ht="17.25" customHeight="1">
      <c r="A132" s="1031"/>
      <c r="B132" s="1057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57" t="s">
        <v>390</v>
      </c>
      <c r="K132" s="1058"/>
    </row>
    <row r="133" spans="1:11" ht="48" customHeight="1">
      <c r="A133" s="1031"/>
      <c r="B133" s="743" t="s">
        <v>312</v>
      </c>
      <c r="C133" s="1656" t="s">
        <v>1078</v>
      </c>
      <c r="D133" s="1477"/>
      <c r="E133" s="1477"/>
      <c r="F133" s="1477"/>
      <c r="G133" s="1477"/>
      <c r="H133" s="840">
        <v>9.0749999999999997E-2</v>
      </c>
      <c r="I133" s="1004">
        <f>I86</f>
        <v>0.33800000000000002</v>
      </c>
      <c r="J133" s="796">
        <f>IF('1-ABA-DE-CARREGAMENTO'!I81="S",(ROUND(H133*J58,2)*(1+I133)),IF('1-ABA-DE-CARREGAMENTO'!I81="N",0,"INFORME S ou N"))</f>
        <v>0</v>
      </c>
      <c r="K133" s="1049"/>
    </row>
    <row r="134" spans="1:11" ht="18.75" customHeight="1">
      <c r="A134" s="1031"/>
      <c r="B134" s="743" t="s">
        <v>314</v>
      </c>
      <c r="C134" s="1577" t="s">
        <v>1079</v>
      </c>
      <c r="D134" s="1477"/>
      <c r="E134" s="1477"/>
      <c r="F134" s="1477"/>
      <c r="G134" s="1477"/>
      <c r="H134" s="1477"/>
      <c r="I134" s="1478"/>
      <c r="J134" s="796">
        <f>ROUND((1/30)/12*(J129),2)</f>
        <v>11.47</v>
      </c>
      <c r="K134" s="1049"/>
    </row>
    <row r="135" spans="1:11" ht="31.5" customHeight="1">
      <c r="A135" s="1031"/>
      <c r="B135" s="743" t="s">
        <v>316</v>
      </c>
      <c r="C135" s="1577" t="s">
        <v>1080</v>
      </c>
      <c r="D135" s="1477"/>
      <c r="E135" s="1477"/>
      <c r="F135" s="1477"/>
      <c r="G135" s="1477"/>
      <c r="H135" s="1477"/>
      <c r="I135" s="1478"/>
      <c r="J135" s="796">
        <f>ROUND((5/30)/12*0.015*(J129),2)</f>
        <v>0.86</v>
      </c>
      <c r="K135" s="1049"/>
    </row>
    <row r="136" spans="1:11" ht="31.5" customHeight="1">
      <c r="A136" s="1031"/>
      <c r="B136" s="743" t="s">
        <v>318</v>
      </c>
      <c r="C136" s="1577" t="s">
        <v>1081</v>
      </c>
      <c r="D136" s="1477"/>
      <c r="E136" s="1477"/>
      <c r="F136" s="1477"/>
      <c r="G136" s="1477"/>
      <c r="H136" s="1477"/>
      <c r="I136" s="1478"/>
      <c r="J136" s="796">
        <f>ROUND(((15/30)/12)*0.0078*(J129),2)</f>
        <v>1.34</v>
      </c>
      <c r="K136" s="1049"/>
    </row>
    <row r="137" spans="1:11" ht="31.5" customHeight="1">
      <c r="A137" s="1031"/>
      <c r="B137" s="843" t="s">
        <v>360</v>
      </c>
      <c r="C137" s="1676" t="s">
        <v>1082</v>
      </c>
      <c r="D137" s="1477"/>
      <c r="E137" s="1477"/>
      <c r="F137" s="1477"/>
      <c r="G137" s="1477"/>
      <c r="H137" s="1477"/>
      <c r="I137" s="1478"/>
      <c r="J137" s="844">
        <f>ROUND(((((C129+C129/3)+(I86)*(C129+C129/3))*(4/12))/12)*0.02,2) + ((J106-J92-J97-J105+J124)*4/12)*0.02</f>
        <v>4.3413846319999996</v>
      </c>
      <c r="K137" s="1059"/>
    </row>
    <row r="138" spans="1:11" ht="51.75" customHeight="1">
      <c r="A138" s="1031"/>
      <c r="B138" s="743" t="s">
        <v>364</v>
      </c>
      <c r="C138" s="1577" t="s">
        <v>1083</v>
      </c>
      <c r="D138" s="1477"/>
      <c r="E138" s="1477"/>
      <c r="F138" s="1477"/>
      <c r="G138" s="1477"/>
      <c r="H138" s="1477"/>
      <c r="I138" s="1478"/>
      <c r="J138" s="796">
        <f>ROUND(((3/30)/12)*(J129),2)</f>
        <v>34.409999999999997</v>
      </c>
      <c r="K138" s="1049"/>
    </row>
    <row r="139" spans="1:11" ht="19.5" customHeight="1">
      <c r="A139" s="1031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52.421384631999999</v>
      </c>
      <c r="K139" s="1049"/>
    </row>
    <row r="140" spans="1:11" ht="12.75" customHeight="1">
      <c r="A140" s="1031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1056"/>
    </row>
    <row r="141" spans="1:11" ht="19.5" customHeight="1">
      <c r="A141" s="1031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931"/>
    </row>
    <row r="142" spans="1:11" ht="19.5" customHeight="1">
      <c r="A142" s="1031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1060"/>
    </row>
    <row r="143" spans="1:11" ht="19.5" customHeight="1">
      <c r="A143" s="1031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1061"/>
    </row>
    <row r="144" spans="1:11" ht="19.5" customHeight="1">
      <c r="A144" s="1031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1061"/>
    </row>
    <row r="145" spans="1:11" ht="9" customHeight="1">
      <c r="A145" s="1031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1062"/>
    </row>
    <row r="146" spans="1:11" ht="19.5" customHeight="1">
      <c r="A146" s="1031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1048"/>
    </row>
    <row r="147" spans="1:11" ht="19.5" customHeight="1">
      <c r="A147" s="1031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1060"/>
    </row>
    <row r="148" spans="1:11" ht="28.5" customHeight="1">
      <c r="A148" s="1031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52.421384631999999</v>
      </c>
      <c r="K148" s="1061"/>
    </row>
    <row r="149" spans="1:11" ht="24" customHeight="1">
      <c r="A149" s="1031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1061"/>
    </row>
    <row r="150" spans="1:11" ht="24" customHeight="1">
      <c r="A150" s="1031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52.421384631999999</v>
      </c>
      <c r="K150" s="1061"/>
    </row>
    <row r="151" spans="1:11" ht="7.5" customHeight="1">
      <c r="A151" s="1031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1062"/>
    </row>
    <row r="152" spans="1:11" ht="15.75" customHeight="1">
      <c r="A152" s="1031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</row>
    <row r="153" spans="1:11" ht="15.75" customHeight="1">
      <c r="A153" s="1031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805" t="s">
        <v>390</v>
      </c>
      <c r="K153" s="1055"/>
    </row>
    <row r="154" spans="1:11" ht="21" customHeight="1">
      <c r="A154" s="1031"/>
      <c r="B154" s="743" t="s">
        <v>312</v>
      </c>
      <c r="C154" s="1577" t="s">
        <v>296</v>
      </c>
      <c r="D154" s="1477"/>
      <c r="E154" s="1477"/>
      <c r="F154" s="1477"/>
      <c r="G154" s="1477"/>
      <c r="H154" s="1477"/>
      <c r="I154" s="1478"/>
      <c r="J154" s="853">
        <f>'Uniformes - EPIs_TODOS'!I9</f>
        <v>1.7210000000000001</v>
      </c>
      <c r="K154" s="1049"/>
    </row>
    <row r="155" spans="1:11" ht="15.75" customHeight="1">
      <c r="A155" s="1031"/>
      <c r="B155" s="743" t="s">
        <v>314</v>
      </c>
      <c r="C155" s="1577" t="s">
        <v>639</v>
      </c>
      <c r="D155" s="1477"/>
      <c r="E155" s="1477"/>
      <c r="F155" s="1477"/>
      <c r="G155" s="1477"/>
      <c r="H155" s="1477"/>
      <c r="I155" s="1478"/>
      <c r="J155" s="881">
        <v>0</v>
      </c>
      <c r="K155" s="789"/>
    </row>
    <row r="156" spans="1:11" ht="15.75" customHeight="1">
      <c r="A156" s="1031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81">
        <v>0</v>
      </c>
      <c r="K156" s="789"/>
    </row>
    <row r="157" spans="1:11" ht="19.5" customHeight="1">
      <c r="A157" s="1031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1.72</v>
      </c>
      <c r="K157" s="789"/>
    </row>
    <row r="158" spans="1:11" ht="15.75" customHeight="1">
      <c r="A158" s="1031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1063"/>
    </row>
    <row r="159" spans="1:11" ht="27.75" customHeight="1">
      <c r="A159" s="1031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52"/>
    </row>
    <row r="160" spans="1:11" ht="19.5" customHeight="1">
      <c r="A160" s="1031"/>
      <c r="B160" s="859"/>
      <c r="C160" s="860"/>
      <c r="D160" s="860"/>
      <c r="E160" s="860"/>
      <c r="F160" s="860"/>
      <c r="G160" s="860"/>
      <c r="H160" s="860"/>
      <c r="I160" s="860"/>
      <c r="J160" s="861"/>
      <c r="K160" s="315"/>
    </row>
    <row r="161" spans="1:11" ht="24" customHeight="1">
      <c r="A161" s="1031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1054"/>
    </row>
    <row r="162" spans="1:11" ht="35.25" customHeight="1">
      <c r="A162" s="1031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</row>
    <row r="163" spans="1:11" ht="57" customHeight="1">
      <c r="A163" s="1031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1009">
        <f>SUM(J63+J115+J124+J150+J157)</f>
        <v>4784.4390794320007</v>
      </c>
      <c r="K163" s="1064"/>
    </row>
    <row r="164" spans="1:11" ht="26.25" customHeight="1">
      <c r="A164" s="1031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1088">
        <f>'1-ABA-DE-CARREGAMENTO'!I85</f>
        <v>0.06</v>
      </c>
      <c r="J164" s="1010">
        <f>ROUND(I164*(J163),2)</f>
        <v>287.07</v>
      </c>
      <c r="K164" s="1049"/>
    </row>
    <row r="165" spans="1:11" ht="51.75" customHeight="1">
      <c r="A165" s="1031"/>
      <c r="B165" s="1560" t="s">
        <v>475</v>
      </c>
      <c r="C165" s="1477"/>
      <c r="D165" s="1477"/>
      <c r="E165" s="1477"/>
      <c r="F165" s="1477"/>
      <c r="G165" s="1477"/>
      <c r="H165" s="1478"/>
      <c r="I165" s="1089" t="s">
        <v>325</v>
      </c>
      <c r="J165" s="1009">
        <f>SUM(J63+J115+J124+J150+J157+J164)</f>
        <v>5071.5090794320004</v>
      </c>
      <c r="K165" s="1064"/>
    </row>
    <row r="166" spans="1:11" ht="19.5" customHeight="1">
      <c r="A166" s="1031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1088">
        <f>'1-ABA-DE-CARREGAMENTO'!I86</f>
        <v>0.06</v>
      </c>
      <c r="J166" s="1010">
        <f>ROUND(I166*J165,2)</f>
        <v>304.29000000000002</v>
      </c>
      <c r="K166" s="1049"/>
    </row>
    <row r="167" spans="1:11" ht="49.5" customHeight="1">
      <c r="A167" s="1031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1009">
        <f>SUM(J163+J164+J166)</f>
        <v>5375.7990794320003</v>
      </c>
      <c r="K167" s="1064"/>
    </row>
    <row r="168" spans="1:11" ht="18.75" customHeight="1">
      <c r="A168" s="1031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1011" t="s">
        <v>325</v>
      </c>
      <c r="K168" s="1046"/>
    </row>
    <row r="169" spans="1:11" ht="30" customHeight="1">
      <c r="A169" s="1031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1011" t="s">
        <v>325</v>
      </c>
      <c r="K169" s="1046"/>
    </row>
    <row r="170" spans="1:11" ht="24" customHeight="1">
      <c r="A170" s="1031"/>
      <c r="B170" s="743"/>
      <c r="C170" s="1590" t="s">
        <v>1084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010">
        <f t="shared" ref="J170:J171" si="3">ROUND(($J$167/(1-$I$179))*I170,2)</f>
        <v>99.94</v>
      </c>
      <c r="K170" s="1065"/>
    </row>
    <row r="171" spans="1:11" ht="24" customHeight="1">
      <c r="A171" s="1031"/>
      <c r="B171" s="743"/>
      <c r="C171" s="1590" t="s">
        <v>1085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010">
        <f t="shared" si="3"/>
        <v>460.35</v>
      </c>
      <c r="K171" s="1065"/>
    </row>
    <row r="172" spans="1:11" ht="27.75" customHeight="1">
      <c r="A172" s="1031"/>
      <c r="B172" s="743"/>
      <c r="C172" s="1577" t="s">
        <v>1086</v>
      </c>
      <c r="D172" s="1477"/>
      <c r="E172" s="1477"/>
      <c r="F172" s="1477"/>
      <c r="G172" s="1477"/>
      <c r="H172" s="1478"/>
      <c r="I172" s="872" t="s">
        <v>325</v>
      </c>
      <c r="J172" s="1011" t="s">
        <v>325</v>
      </c>
      <c r="K172" s="1046"/>
    </row>
    <row r="173" spans="1:11" ht="27.75" customHeight="1">
      <c r="A173" s="1031"/>
      <c r="B173" s="743"/>
      <c r="C173" s="1577" t="s">
        <v>1087</v>
      </c>
      <c r="D173" s="1477"/>
      <c r="E173" s="1477"/>
      <c r="F173" s="1477"/>
      <c r="G173" s="1477"/>
      <c r="H173" s="1478"/>
      <c r="I173" s="872" t="s">
        <v>325</v>
      </c>
      <c r="J173" s="1011" t="s">
        <v>325</v>
      </c>
      <c r="K173" s="1046"/>
    </row>
    <row r="174" spans="1:11" ht="15.75" customHeight="1">
      <c r="A174" s="1031"/>
      <c r="B174" s="743"/>
      <c r="C174" s="1577" t="s">
        <v>483</v>
      </c>
      <c r="D174" s="1477"/>
      <c r="E174" s="1477"/>
      <c r="F174" s="1477"/>
      <c r="G174" s="1477"/>
      <c r="H174" s="1477"/>
      <c r="I174" s="1066" t="s">
        <v>325</v>
      </c>
      <c r="J174" s="1011" t="s">
        <v>325</v>
      </c>
      <c r="K174" s="1067"/>
    </row>
    <row r="175" spans="1:11" ht="15.75" customHeight="1">
      <c r="A175" s="1031"/>
      <c r="B175" s="743"/>
      <c r="C175" s="1577" t="s">
        <v>484</v>
      </c>
      <c r="D175" s="1477"/>
      <c r="E175" s="1477"/>
      <c r="F175" s="1477"/>
      <c r="G175" s="1477"/>
      <c r="H175" s="1477"/>
      <c r="I175" s="1066" t="s">
        <v>325</v>
      </c>
      <c r="J175" s="1011" t="s">
        <v>325</v>
      </c>
      <c r="K175" s="1067"/>
    </row>
    <row r="176" spans="1:11" ht="15.75" customHeight="1">
      <c r="A176" s="1031"/>
      <c r="B176" s="743"/>
      <c r="C176" s="1577" t="s">
        <v>1088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010">
        <f>ROUND(($J$167/(1-$I$179))*I176,2)</f>
        <v>121.14</v>
      </c>
      <c r="K176" s="1065"/>
    </row>
    <row r="177" spans="1:11" ht="15.75" customHeight="1">
      <c r="A177" s="1031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1000">
        <f>SUM(J164+J166+J170+J171+J176)</f>
        <v>1272.7900000000002</v>
      </c>
      <c r="K177" s="1049"/>
    </row>
    <row r="178" spans="1:11" ht="6" customHeight="1">
      <c r="A178" s="1031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1056"/>
    </row>
    <row r="179" spans="1:11" ht="15.75" customHeight="1">
      <c r="A179" s="1031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4">SUM(I170:I176)</f>
        <v>0.1125</v>
      </c>
      <c r="J179" s="866">
        <f t="shared" si="4"/>
        <v>681.43</v>
      </c>
      <c r="K179" s="1064"/>
    </row>
    <row r="180" spans="1:11" ht="15.75" customHeight="1">
      <c r="A180" s="1031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5"/>
    </row>
    <row r="181" spans="1:11" ht="15.75" customHeight="1">
      <c r="A181" s="1031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7"/>
    </row>
    <row r="182" spans="1:11" ht="15.75" customHeight="1">
      <c r="A182" s="1031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5"/>
    </row>
    <row r="183" spans="1:11" ht="9.75" customHeight="1">
      <c r="A183" s="1031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1068"/>
    </row>
    <row r="184" spans="1:11" ht="23.25" customHeight="1">
      <c r="A184" s="1031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</row>
    <row r="185" spans="1:11" ht="9" customHeight="1">
      <c r="A185" s="1031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1056"/>
    </row>
    <row r="186" spans="1:11" ht="15.75" customHeight="1">
      <c r="A186" s="1031"/>
      <c r="B186" s="1674" t="s">
        <v>1089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</row>
    <row r="187" spans="1:11" ht="15.75" customHeight="1">
      <c r="A187" s="1031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863" t="s">
        <v>390</v>
      </c>
      <c r="K187" s="697"/>
    </row>
    <row r="188" spans="1:11" ht="15.75" customHeight="1">
      <c r="A188" s="1031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2593.2600000000002</v>
      </c>
      <c r="K188" s="789"/>
    </row>
    <row r="189" spans="1:11" ht="15.75" customHeight="1">
      <c r="A189" s="1031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1992.3576948</v>
      </c>
      <c r="K189" s="789"/>
    </row>
    <row r="190" spans="1:11" ht="15.75" customHeight="1">
      <c r="A190" s="1031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144.68</v>
      </c>
      <c r="K190" s="789"/>
    </row>
    <row r="191" spans="1:11" ht="15.75" customHeight="1">
      <c r="A191" s="1031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52.421384631999999</v>
      </c>
      <c r="K191" s="789"/>
    </row>
    <row r="192" spans="1:11" ht="15.75" customHeight="1">
      <c r="A192" s="1031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1.72</v>
      </c>
      <c r="K192" s="789"/>
    </row>
    <row r="193" spans="1:12" ht="15.75" customHeight="1">
      <c r="A193" s="1031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4784.4399999999996</v>
      </c>
      <c r="K193" s="789"/>
    </row>
    <row r="194" spans="1:12" ht="15.75" customHeight="1">
      <c r="A194" s="1031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1272.7900000000002</v>
      </c>
      <c r="K194" s="789"/>
    </row>
    <row r="195" spans="1:12" ht="15.75" customHeight="1">
      <c r="A195" s="1031"/>
      <c r="B195" s="1600" t="s">
        <v>647</v>
      </c>
      <c r="C195" s="1477"/>
      <c r="D195" s="1477"/>
      <c r="E195" s="1477"/>
      <c r="F195" s="1477"/>
      <c r="G195" s="1477"/>
      <c r="H195" s="1477"/>
      <c r="I195" s="1521"/>
      <c r="J195" s="857">
        <f>J193+J194</f>
        <v>6057.23</v>
      </c>
      <c r="K195" s="789"/>
    </row>
    <row r="196" spans="1:12" ht="33.75" customHeight="1">
      <c r="A196" s="1031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</row>
    <row r="197" spans="1:12" ht="10.5" customHeight="1">
      <c r="A197" s="1031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</row>
    <row r="198" spans="1:12" ht="15.75" customHeight="1">
      <c r="A198" s="1031"/>
      <c r="B198" s="885"/>
      <c r="C198" s="723"/>
      <c r="D198" s="723"/>
      <c r="E198" s="723"/>
      <c r="F198" s="723"/>
      <c r="G198" s="723"/>
      <c r="H198" s="723"/>
      <c r="I198" s="1069"/>
      <c r="J198" s="1070"/>
      <c r="K198" s="1069"/>
    </row>
    <row r="199" spans="1:12" ht="15.75" customHeight="1">
      <c r="A199" s="1031"/>
      <c r="B199" s="1693" t="s">
        <v>502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</row>
    <row r="200" spans="1:12" ht="60" customHeight="1">
      <c r="A200" s="1031"/>
      <c r="B200" s="1641" t="s">
        <v>503</v>
      </c>
      <c r="C200" s="1477"/>
      <c r="D200" s="1477"/>
      <c r="E200" s="1478"/>
      <c r="F200" s="889" t="s">
        <v>648</v>
      </c>
      <c r="G200" s="890"/>
      <c r="H200" s="891" t="s">
        <v>506</v>
      </c>
      <c r="I200" s="1641" t="s">
        <v>507</v>
      </c>
      <c r="J200" s="1478"/>
      <c r="K200" s="697"/>
    </row>
    <row r="201" spans="1:12" ht="39" hidden="1" customHeight="1" outlineLevel="1">
      <c r="A201" s="1031"/>
      <c r="B201" s="1577" t="s">
        <v>508</v>
      </c>
      <c r="C201" s="1477"/>
      <c r="D201" s="1477"/>
      <c r="E201" s="1478"/>
      <c r="F201" s="1694">
        <v>0</v>
      </c>
      <c r="G201" s="1478"/>
      <c r="H201" s="892">
        <f t="shared" ref="H201:H202" si="5">E201*F201</f>
        <v>0</v>
      </c>
      <c r="I201" s="1694">
        <f t="shared" ref="I201:I202" si="6">F201*H201</f>
        <v>0</v>
      </c>
      <c r="J201" s="1478"/>
      <c r="K201" s="770"/>
    </row>
    <row r="202" spans="1:12" ht="39" hidden="1" customHeight="1" outlineLevel="1">
      <c r="A202" s="1031"/>
      <c r="B202" s="1577" t="s">
        <v>509</v>
      </c>
      <c r="C202" s="1477"/>
      <c r="D202" s="1477"/>
      <c r="E202" s="1478"/>
      <c r="F202" s="1694">
        <v>0</v>
      </c>
      <c r="G202" s="1478"/>
      <c r="H202" s="893">
        <f t="shared" si="5"/>
        <v>0</v>
      </c>
      <c r="I202" s="1694">
        <f t="shared" si="6"/>
        <v>0</v>
      </c>
      <c r="J202" s="1478"/>
      <c r="K202" s="770"/>
    </row>
    <row r="203" spans="1:12" ht="39" customHeight="1" collapsed="1">
      <c r="A203" s="1031"/>
      <c r="B203" s="1609" t="str">
        <f>B3</f>
        <v>3341-10_MONITOR-de-ALUNOS_40h</v>
      </c>
      <c r="C203" s="1477"/>
      <c r="D203" s="1477"/>
      <c r="E203" s="1478"/>
      <c r="F203" s="894">
        <f>J195</f>
        <v>6057.23</v>
      </c>
      <c r="G203" s="895">
        <f>I40</f>
        <v>1</v>
      </c>
      <c r="H203" s="1071"/>
      <c r="I203" s="1695">
        <f>F203*G203</f>
        <v>6057.23</v>
      </c>
      <c r="J203" s="1478"/>
      <c r="K203" s="897" t="s">
        <v>510</v>
      </c>
      <c r="L203" s="897" t="str">
        <f>B3</f>
        <v>3341-10_MONITOR-de-ALUNOS_40h</v>
      </c>
    </row>
    <row r="204" spans="1:12" ht="39" hidden="1" customHeight="1" outlineLevel="1">
      <c r="A204" s="1031"/>
      <c r="B204" s="1577" t="s">
        <v>511</v>
      </c>
      <c r="C204" s="1477"/>
      <c r="D204" s="1477"/>
      <c r="E204" s="1478"/>
      <c r="F204" s="1696">
        <v>0</v>
      </c>
      <c r="G204" s="1478"/>
      <c r="H204" s="898">
        <f t="shared" ref="H204:I204" si="7">E204*G204</f>
        <v>0</v>
      </c>
      <c r="I204" s="1696">
        <f t="shared" si="7"/>
        <v>0</v>
      </c>
      <c r="J204" s="1478"/>
      <c r="K204" s="770"/>
      <c r="L204" s="770"/>
    </row>
    <row r="205" spans="1:12" ht="39" hidden="1" customHeight="1" outlineLevel="1">
      <c r="A205" s="1031"/>
      <c r="B205" s="1577" t="s">
        <v>512</v>
      </c>
      <c r="C205" s="1477"/>
      <c r="D205" s="1477"/>
      <c r="E205" s="1478"/>
      <c r="F205" s="1696">
        <v>0</v>
      </c>
      <c r="G205" s="1478"/>
      <c r="H205" s="898">
        <f t="shared" ref="H205:I205" si="8">E205*G205</f>
        <v>0</v>
      </c>
      <c r="I205" s="1696">
        <f t="shared" si="8"/>
        <v>0</v>
      </c>
      <c r="J205" s="1478"/>
      <c r="K205" s="770"/>
      <c r="L205" s="770"/>
    </row>
    <row r="206" spans="1:12" ht="15.75" hidden="1" customHeight="1" outlineLevel="1">
      <c r="A206" s="1031"/>
      <c r="B206" s="1730" t="s">
        <v>1090</v>
      </c>
      <c r="C206" s="1477"/>
      <c r="D206" s="1477"/>
      <c r="E206" s="1478"/>
      <c r="F206" s="1694">
        <v>0</v>
      </c>
      <c r="G206" s="1478"/>
      <c r="H206" s="898">
        <f t="shared" ref="H206:I206" si="9">E206*G206</f>
        <v>0</v>
      </c>
      <c r="I206" s="1696">
        <f t="shared" si="9"/>
        <v>0</v>
      </c>
      <c r="J206" s="1478"/>
      <c r="K206" s="770"/>
      <c r="L206" s="770"/>
    </row>
    <row r="207" spans="1:12" ht="31.5" customHeight="1" collapsed="1">
      <c r="A207" s="1031"/>
      <c r="B207" s="1699" t="s">
        <v>514</v>
      </c>
      <c r="C207" s="1477"/>
      <c r="D207" s="1477"/>
      <c r="E207" s="1477"/>
      <c r="F207" s="1477"/>
      <c r="G207" s="1478"/>
      <c r="H207" s="899">
        <f>I17</f>
        <v>0</v>
      </c>
      <c r="I207" s="1697">
        <f>H207*I203</f>
        <v>0</v>
      </c>
      <c r="J207" s="1478"/>
      <c r="K207" s="900"/>
      <c r="L207" s="900"/>
    </row>
    <row r="208" spans="1:12" ht="6" customHeight="1">
      <c r="A208" s="1031"/>
      <c r="B208" s="1723"/>
      <c r="C208" s="1705"/>
      <c r="D208" s="1705"/>
      <c r="E208" s="1705"/>
      <c r="F208" s="1705"/>
      <c r="G208" s="1705"/>
      <c r="H208" s="1705"/>
      <c r="I208" s="1705"/>
      <c r="J208" s="1706"/>
      <c r="K208" s="777"/>
      <c r="L208" s="777"/>
    </row>
    <row r="209" spans="1:12" ht="15.75" customHeight="1">
      <c r="A209" s="1031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  <c r="L209" s="730"/>
    </row>
    <row r="210" spans="1:12" ht="6" customHeight="1">
      <c r="A210" s="1031"/>
      <c r="B210" s="1724"/>
      <c r="C210" s="1477"/>
      <c r="D210" s="1477"/>
      <c r="E210" s="1477"/>
      <c r="F210" s="1477"/>
      <c r="G210" s="1477"/>
      <c r="H210" s="1477"/>
      <c r="I210" s="1477"/>
      <c r="J210" s="1478"/>
      <c r="K210" s="723"/>
      <c r="L210" s="723"/>
    </row>
    <row r="211" spans="1:12" ht="15.75" customHeight="1">
      <c r="A211" s="1031"/>
      <c r="B211" s="1563" t="s">
        <v>516</v>
      </c>
      <c r="C211" s="1477"/>
      <c r="D211" s="1477"/>
      <c r="E211" s="1477"/>
      <c r="F211" s="1477"/>
      <c r="G211" s="1478"/>
      <c r="H211" s="1564">
        <f>$I$207</f>
        <v>0</v>
      </c>
      <c r="I211" s="1477"/>
      <c r="J211" s="1478"/>
      <c r="K211" s="901"/>
      <c r="L211" s="901"/>
    </row>
    <row r="212" spans="1:12" ht="6" customHeight="1">
      <c r="A212" s="1031"/>
      <c r="B212" s="1725"/>
      <c r="C212" s="1528"/>
      <c r="D212" s="1528"/>
      <c r="E212" s="1528"/>
      <c r="F212" s="1528"/>
      <c r="G212" s="1528"/>
      <c r="H212" s="1528"/>
      <c r="I212" s="1528"/>
      <c r="J212" s="1566"/>
      <c r="K212" s="858"/>
      <c r="L212" s="858"/>
    </row>
    <row r="213" spans="1:12" ht="15.75" customHeight="1">
      <c r="A213" s="1031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  <c r="L213" s="902"/>
    </row>
    <row r="214" spans="1:12" ht="6" customHeight="1">
      <c r="A214" s="1031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  <c r="L214" s="903"/>
    </row>
    <row r="215" spans="1:12" ht="15.75" customHeight="1">
      <c r="A215" s="1031"/>
      <c r="B215" s="1563" t="s">
        <v>1091</v>
      </c>
      <c r="C215" s="1477"/>
      <c r="D215" s="1477"/>
      <c r="E215" s="1477"/>
      <c r="F215" s="1477"/>
      <c r="G215" s="1478"/>
      <c r="H215" s="1569">
        <f>ROUND(H211*H213,2)</f>
        <v>0</v>
      </c>
      <c r="I215" s="1477"/>
      <c r="J215" s="1478"/>
      <c r="K215" s="901"/>
      <c r="L215" s="901"/>
    </row>
    <row r="216" spans="1:12" ht="6" customHeight="1">
      <c r="A216" s="1031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  <c r="L216" s="723"/>
    </row>
    <row r="217" spans="1:12" ht="15.75" customHeight="1">
      <c r="A217" s="1031"/>
      <c r="B217" s="1031"/>
      <c r="C217" s="1031"/>
      <c r="D217" s="1031"/>
      <c r="E217" s="1031"/>
      <c r="F217" s="1031"/>
      <c r="G217" s="1031"/>
      <c r="H217" s="1031"/>
      <c r="I217" s="1031"/>
      <c r="J217" s="1031"/>
      <c r="K217" s="718"/>
      <c r="L217" s="718"/>
    </row>
    <row r="218" spans="1:12" ht="50.25" customHeight="1">
      <c r="B218" s="1031"/>
      <c r="C218" s="1031"/>
      <c r="D218" s="1031"/>
      <c r="E218" s="1031"/>
      <c r="F218" s="1031"/>
      <c r="G218" s="1031"/>
      <c r="H218" s="1031"/>
      <c r="I218" s="1031"/>
      <c r="J218" s="1031"/>
      <c r="K218" s="904"/>
      <c r="L218" s="904"/>
    </row>
    <row r="219" spans="1:12" ht="42" hidden="1" customHeight="1" outlineLevel="1">
      <c r="B219" s="905" t="s">
        <v>1092</v>
      </c>
      <c r="C219" s="906"/>
      <c r="D219" s="906"/>
      <c r="E219" s="906"/>
      <c r="F219" s="906"/>
      <c r="G219" s="907" t="str">
        <f>B3</f>
        <v>3341-10_MONITOR-de-ALUNOS_40h</v>
      </c>
      <c r="H219" s="906"/>
      <c r="I219" s="906"/>
      <c r="J219" s="906"/>
      <c r="K219" s="904"/>
      <c r="L219" s="904"/>
    </row>
    <row r="220" spans="1:12" ht="15.75" hidden="1" customHeight="1" outlineLevel="1">
      <c r="B220" s="1571" t="s">
        <v>352</v>
      </c>
      <c r="C220" s="1477"/>
      <c r="D220" s="1477"/>
      <c r="E220" s="1477"/>
      <c r="F220" s="1477"/>
      <c r="G220" s="1477"/>
      <c r="H220" s="1477"/>
      <c r="I220" s="1477"/>
      <c r="J220" s="1478"/>
      <c r="K220" s="900"/>
      <c r="L220" s="900"/>
    </row>
    <row r="221" spans="1:12" ht="15.75" hidden="1" customHeight="1" outlineLevel="1">
      <c r="B221" s="753">
        <v>1</v>
      </c>
      <c r="C221" s="1603" t="s">
        <v>831</v>
      </c>
      <c r="D221" s="1477"/>
      <c r="E221" s="1477"/>
      <c r="F221" s="1477"/>
      <c r="G221" s="1477"/>
      <c r="H221" s="1478"/>
      <c r="I221" s="754" t="s">
        <v>354</v>
      </c>
      <c r="J221" s="753" t="s">
        <v>355</v>
      </c>
      <c r="K221" s="900"/>
      <c r="L221" s="900"/>
    </row>
    <row r="222" spans="1:12" ht="28.5" hidden="1" customHeight="1" outlineLevel="1">
      <c r="B222" s="696" t="s">
        <v>360</v>
      </c>
      <c r="C222" s="1573" t="s">
        <v>1093</v>
      </c>
      <c r="D222" s="1477"/>
      <c r="E222" s="1478"/>
      <c r="F222" s="763" t="s">
        <v>362</v>
      </c>
      <c r="G222" s="909">
        <v>0</v>
      </c>
      <c r="H222" s="763" t="s">
        <v>522</v>
      </c>
      <c r="I222" s="765">
        <f>I33*0.2</f>
        <v>2.5944000000000003</v>
      </c>
      <c r="J222" s="766">
        <f t="shared" ref="J222:J224" si="10">G222*I222</f>
        <v>0</v>
      </c>
      <c r="K222" s="910"/>
      <c r="L222" s="910"/>
    </row>
    <row r="223" spans="1:12" ht="28.5" hidden="1" customHeight="1" outlineLevel="1">
      <c r="B223" s="696" t="s">
        <v>368</v>
      </c>
      <c r="C223" s="1574" t="s">
        <v>1094</v>
      </c>
      <c r="D223" s="1575"/>
      <c r="E223" s="1575"/>
      <c r="F223" s="763" t="s">
        <v>370</v>
      </c>
      <c r="G223" s="909">
        <v>0</v>
      </c>
      <c r="H223" s="763" t="s">
        <v>524</v>
      </c>
      <c r="I223" s="765">
        <f>I33*1.5</f>
        <v>19.458000000000002</v>
      </c>
      <c r="J223" s="766">
        <f t="shared" si="10"/>
        <v>0</v>
      </c>
      <c r="K223" s="910"/>
      <c r="L223" s="910"/>
    </row>
    <row r="224" spans="1:12" ht="28.5" hidden="1" customHeight="1" outlineLevel="1">
      <c r="B224" s="696" t="s">
        <v>372</v>
      </c>
      <c r="C224" s="1574" t="s">
        <v>1095</v>
      </c>
      <c r="D224" s="1575"/>
      <c r="E224" s="1575"/>
      <c r="F224" s="763" t="s">
        <v>374</v>
      </c>
      <c r="G224" s="909">
        <v>0</v>
      </c>
      <c r="H224" s="763" t="s">
        <v>526</v>
      </c>
      <c r="I224" s="765">
        <f>I33*2</f>
        <v>25.944000000000003</v>
      </c>
      <c r="J224" s="767">
        <f t="shared" si="10"/>
        <v>0</v>
      </c>
      <c r="K224" s="910"/>
      <c r="L224" s="910"/>
    </row>
    <row r="225" spans="2:12" ht="39" hidden="1" customHeight="1" outlineLevel="1">
      <c r="B225" s="696" t="s">
        <v>376</v>
      </c>
      <c r="C225" s="1576" t="s">
        <v>1096</v>
      </c>
      <c r="D225" s="1419"/>
      <c r="E225" s="1419"/>
      <c r="F225" s="763" t="s">
        <v>378</v>
      </c>
      <c r="G225" s="768">
        <f>SUM(G222:G224)*0.2</f>
        <v>0</v>
      </c>
      <c r="H225" s="763"/>
      <c r="I225" s="765"/>
      <c r="J225" s="767">
        <f>ROUND(SUM(J222:J224)*0.2,2)</f>
        <v>0</v>
      </c>
      <c r="K225" s="910"/>
      <c r="L225" s="910"/>
    </row>
    <row r="226" spans="2:12" ht="15.75" hidden="1" customHeight="1" outlineLevel="1">
      <c r="B226" s="696" t="s">
        <v>379</v>
      </c>
      <c r="C226" s="1577" t="s">
        <v>380</v>
      </c>
      <c r="D226" s="1477"/>
      <c r="E226" s="1477"/>
      <c r="F226" s="1477"/>
      <c r="G226" s="1477"/>
      <c r="H226" s="1477"/>
      <c r="I226" s="1478"/>
      <c r="J226" s="769" t="s">
        <v>325</v>
      </c>
      <c r="K226" s="900"/>
      <c r="L226" s="900"/>
    </row>
    <row r="227" spans="2:12" ht="36.75" hidden="1" customHeight="1" outlineLevel="1">
      <c r="B227" s="1578" t="s">
        <v>836</v>
      </c>
      <c r="C227" s="1477"/>
      <c r="D227" s="1477"/>
      <c r="E227" s="1477"/>
      <c r="F227" s="1477"/>
      <c r="G227" s="1477"/>
      <c r="H227" s="1477"/>
      <c r="I227" s="1478"/>
      <c r="J227" s="775">
        <f>SUM(J222:J226)</f>
        <v>0</v>
      </c>
      <c r="K227" s="900"/>
      <c r="L227" s="900"/>
    </row>
    <row r="228" spans="2:12" ht="15.75" hidden="1" customHeight="1" outlineLevel="1">
      <c r="B228" s="908"/>
      <c r="C228" s="908"/>
      <c r="D228" s="908"/>
      <c r="E228" s="908"/>
      <c r="F228" s="908"/>
      <c r="G228" s="908"/>
      <c r="H228" s="908"/>
      <c r="I228" s="908"/>
      <c r="J228" s="908"/>
      <c r="K228" s="900"/>
      <c r="L228" s="900"/>
    </row>
    <row r="229" spans="2:12" ht="42.75" hidden="1" customHeight="1" outlineLevel="1">
      <c r="B229" s="1579" t="s">
        <v>386</v>
      </c>
      <c r="C229" s="1477"/>
      <c r="D229" s="1477"/>
      <c r="E229" s="1477"/>
      <c r="F229" s="1477"/>
      <c r="G229" s="1477"/>
      <c r="H229" s="1477"/>
      <c r="I229" s="1477"/>
      <c r="J229" s="1478"/>
      <c r="K229" s="900"/>
      <c r="L229" s="900"/>
    </row>
    <row r="230" spans="2:12" ht="48.75" hidden="1" customHeight="1" outlineLevel="1">
      <c r="B230" s="1580" t="s">
        <v>837</v>
      </c>
      <c r="C230" s="1477"/>
      <c r="D230" s="1477"/>
      <c r="E230" s="1477"/>
      <c r="F230" s="1477"/>
      <c r="G230" s="1477"/>
      <c r="H230" s="1477"/>
      <c r="I230" s="1477"/>
      <c r="J230" s="1478"/>
      <c r="K230" s="900"/>
      <c r="L230" s="900"/>
    </row>
    <row r="231" spans="2:12" ht="32.25" hidden="1" customHeight="1" outlineLevel="1">
      <c r="B231" s="911">
        <v>45659</v>
      </c>
      <c r="C231" s="1581" t="s">
        <v>530</v>
      </c>
      <c r="D231" s="1477"/>
      <c r="E231" s="1477"/>
      <c r="F231" s="1477"/>
      <c r="G231" s="1477"/>
      <c r="H231" s="1477"/>
      <c r="I231" s="1478"/>
      <c r="J231" s="912" t="s">
        <v>390</v>
      </c>
      <c r="K231" s="900"/>
      <c r="L231" s="900"/>
    </row>
    <row r="232" spans="2:12" ht="32.25" hidden="1" customHeight="1" outlineLevel="1">
      <c r="B232" s="912" t="s">
        <v>312</v>
      </c>
      <c r="C232" s="1553" t="s">
        <v>531</v>
      </c>
      <c r="D232" s="1477"/>
      <c r="E232" s="1477"/>
      <c r="F232" s="1477"/>
      <c r="G232" s="1477"/>
      <c r="H232" s="1478"/>
      <c r="I232" s="913">
        <f t="shared" ref="I232:I233" si="11">I70</f>
        <v>8.3299999999999999E-2</v>
      </c>
      <c r="J232" s="766">
        <f>J227*I232</f>
        <v>0</v>
      </c>
      <c r="K232" s="900"/>
      <c r="L232" s="900"/>
    </row>
    <row r="233" spans="2:12" ht="53.25" hidden="1" customHeight="1" outlineLevel="1">
      <c r="B233" s="912" t="s">
        <v>314</v>
      </c>
      <c r="C233" s="1582" t="s">
        <v>1097</v>
      </c>
      <c r="D233" s="1477"/>
      <c r="E233" s="1477"/>
      <c r="F233" s="1477"/>
      <c r="G233" s="1477"/>
      <c r="H233" s="1478"/>
      <c r="I233" s="913">
        <f t="shared" si="11"/>
        <v>3.0249999999999999E-2</v>
      </c>
      <c r="J233" s="766">
        <f>J227*I233</f>
        <v>0</v>
      </c>
      <c r="K233" s="900"/>
      <c r="L233" s="900"/>
    </row>
    <row r="234" spans="2:12" ht="32.25" hidden="1" customHeight="1" outlineLevel="1">
      <c r="B234" s="1583" t="s">
        <v>393</v>
      </c>
      <c r="C234" s="1477"/>
      <c r="D234" s="1477"/>
      <c r="E234" s="1477"/>
      <c r="F234" s="1477"/>
      <c r="G234" s="1477"/>
      <c r="H234" s="1477"/>
      <c r="I234" s="1478"/>
      <c r="J234" s="775">
        <f>SUM(J232:J233)</f>
        <v>0</v>
      </c>
      <c r="K234" s="900"/>
      <c r="L234" s="900"/>
    </row>
    <row r="235" spans="2:12" ht="32.25" hidden="1" customHeight="1" outlineLevel="1">
      <c r="B235" s="908"/>
      <c r="C235" s="908"/>
      <c r="D235" s="908"/>
      <c r="E235" s="908"/>
      <c r="F235" s="908"/>
      <c r="G235" s="908"/>
      <c r="H235" s="908"/>
      <c r="I235" s="908"/>
      <c r="J235" s="908"/>
      <c r="K235" s="900"/>
      <c r="L235" s="900"/>
    </row>
    <row r="236" spans="2:12" ht="28.5" hidden="1" customHeight="1" outlineLevel="1">
      <c r="B236" s="791" t="s">
        <v>396</v>
      </c>
      <c r="C236" s="1734" t="s">
        <v>1013</v>
      </c>
      <c r="D236" s="1477"/>
      <c r="E236" s="1477"/>
      <c r="F236" s="1477"/>
      <c r="G236" s="1477"/>
      <c r="H236" s="1478"/>
      <c r="I236" s="792" t="s">
        <v>354</v>
      </c>
      <c r="J236" s="793" t="s">
        <v>398</v>
      </c>
      <c r="K236" s="900"/>
      <c r="L236" s="900"/>
    </row>
    <row r="237" spans="2:12" ht="32.25" hidden="1" customHeight="1" outlineLevel="1">
      <c r="B237" s="794" t="s">
        <v>312</v>
      </c>
      <c r="C237" s="1577" t="s">
        <v>399</v>
      </c>
      <c r="D237" s="1477"/>
      <c r="E237" s="1477"/>
      <c r="F237" s="1477"/>
      <c r="G237" s="1477"/>
      <c r="H237" s="1478"/>
      <c r="I237" s="795">
        <f t="shared" ref="I237:I238" si="12">I78</f>
        <v>0.2</v>
      </c>
      <c r="J237" s="796">
        <f>ROUND((J227+J234)*I237,2)</f>
        <v>0</v>
      </c>
      <c r="K237" s="900"/>
      <c r="L237" s="900"/>
    </row>
    <row r="238" spans="2:12" ht="32.25" hidden="1" customHeight="1" outlineLevel="1">
      <c r="B238" s="794" t="s">
        <v>314</v>
      </c>
      <c r="C238" s="1577" t="s">
        <v>400</v>
      </c>
      <c r="D238" s="1477"/>
      <c r="E238" s="1477"/>
      <c r="F238" s="1477"/>
      <c r="G238" s="1477"/>
      <c r="H238" s="1478"/>
      <c r="I238" s="795">
        <f t="shared" si="12"/>
        <v>2.5000000000000001E-2</v>
      </c>
      <c r="J238" s="796">
        <f>ROUND((J227+J234)*I238,2)</f>
        <v>0</v>
      </c>
      <c r="K238" s="900"/>
      <c r="L238" s="900"/>
    </row>
    <row r="239" spans="2:12" ht="15.75" hidden="1" customHeight="1" outlineLevel="1">
      <c r="B239" s="794" t="s">
        <v>316</v>
      </c>
      <c r="C239" s="1577" t="s">
        <v>1098</v>
      </c>
      <c r="D239" s="1478"/>
      <c r="E239" s="735" t="s">
        <v>402</v>
      </c>
      <c r="F239" s="797">
        <f>F80</f>
        <v>0</v>
      </c>
      <c r="G239" s="735" t="s">
        <v>403</v>
      </c>
      <c r="H239" s="798">
        <f t="shared" ref="H239:I239" si="13">H80</f>
        <v>1</v>
      </c>
      <c r="I239" s="795">
        <f t="shared" si="13"/>
        <v>0</v>
      </c>
      <c r="J239" s="796">
        <f>ROUND((J227+J234)*I239,2)</f>
        <v>0</v>
      </c>
      <c r="K239" s="900"/>
      <c r="L239" s="900"/>
    </row>
    <row r="240" spans="2:12" ht="51" hidden="1" customHeight="1" outlineLevel="1">
      <c r="B240" s="794" t="s">
        <v>318</v>
      </c>
      <c r="C240" s="1577" t="s">
        <v>404</v>
      </c>
      <c r="D240" s="1477"/>
      <c r="E240" s="1477"/>
      <c r="F240" s="1477"/>
      <c r="G240" s="1477"/>
      <c r="H240" s="1478"/>
      <c r="I240" s="795">
        <f t="shared" ref="I240:I244" si="14">I81</f>
        <v>1.4999999999999999E-2</v>
      </c>
      <c r="J240" s="796">
        <f>ROUND((J227+J234)*I240,2)</f>
        <v>0</v>
      </c>
      <c r="K240" s="900"/>
      <c r="L240" s="900"/>
    </row>
    <row r="241" spans="2:12" ht="15.75" hidden="1" customHeight="1" outlineLevel="1">
      <c r="B241" s="794" t="s">
        <v>360</v>
      </c>
      <c r="C241" s="1577" t="s">
        <v>405</v>
      </c>
      <c r="D241" s="1477"/>
      <c r="E241" s="1477"/>
      <c r="F241" s="1477"/>
      <c r="G241" s="1477"/>
      <c r="H241" s="1478"/>
      <c r="I241" s="795">
        <f t="shared" si="14"/>
        <v>0.01</v>
      </c>
      <c r="J241" s="796">
        <f>ROUND((J227+J234)*I241,2)</f>
        <v>0</v>
      </c>
      <c r="K241" s="900"/>
      <c r="L241" s="900"/>
    </row>
    <row r="242" spans="2:12" ht="15.75" hidden="1" customHeight="1" outlineLevel="1">
      <c r="B242" s="794" t="s">
        <v>364</v>
      </c>
      <c r="C242" s="1577" t="s">
        <v>406</v>
      </c>
      <c r="D242" s="1477"/>
      <c r="E242" s="1477"/>
      <c r="F242" s="1477"/>
      <c r="G242" s="1477"/>
      <c r="H242" s="1478"/>
      <c r="I242" s="795">
        <f t="shared" si="14"/>
        <v>6.0000000000000001E-3</v>
      </c>
      <c r="J242" s="796">
        <f>ROUND((J227+J234)*I242,2)</f>
        <v>0</v>
      </c>
      <c r="K242" s="900"/>
      <c r="L242" s="900"/>
    </row>
    <row r="243" spans="2:12" ht="15.75" hidden="1" customHeight="1" outlineLevel="1">
      <c r="B243" s="794" t="s">
        <v>366</v>
      </c>
      <c r="C243" s="1577" t="s">
        <v>407</v>
      </c>
      <c r="D243" s="1477"/>
      <c r="E243" s="1477"/>
      <c r="F243" s="1477"/>
      <c r="G243" s="1477"/>
      <c r="H243" s="1478"/>
      <c r="I243" s="795">
        <f t="shared" si="14"/>
        <v>2E-3</v>
      </c>
      <c r="J243" s="796">
        <f>ROUND((J227+J234)*I243,2)</f>
        <v>0</v>
      </c>
      <c r="K243" s="900"/>
      <c r="L243" s="900"/>
    </row>
    <row r="244" spans="2:12" ht="15.75" hidden="1" customHeight="1" outlineLevel="1">
      <c r="B244" s="794" t="s">
        <v>368</v>
      </c>
      <c r="C244" s="1577" t="s">
        <v>408</v>
      </c>
      <c r="D244" s="1477"/>
      <c r="E244" s="1477"/>
      <c r="F244" s="1477"/>
      <c r="G244" s="1477"/>
      <c r="H244" s="1478"/>
      <c r="I244" s="795">
        <f t="shared" si="14"/>
        <v>0.08</v>
      </c>
      <c r="J244" s="796">
        <f>ROUND((J227+J234)*I244,2)</f>
        <v>0</v>
      </c>
      <c r="K244" s="900"/>
      <c r="L244" s="900"/>
    </row>
    <row r="245" spans="2:12" ht="15.75" hidden="1" customHeight="1" outlineLevel="1">
      <c r="B245" s="1585" t="s">
        <v>393</v>
      </c>
      <c r="C245" s="1477"/>
      <c r="D245" s="1477"/>
      <c r="E245" s="1477"/>
      <c r="F245" s="1477"/>
      <c r="G245" s="1477"/>
      <c r="H245" s="1478"/>
      <c r="I245" s="800">
        <f t="shared" ref="I245:J245" si="15">SUM(I237:I244)</f>
        <v>0.33800000000000002</v>
      </c>
      <c r="J245" s="775">
        <f t="shared" si="15"/>
        <v>0</v>
      </c>
      <c r="K245" s="900"/>
      <c r="L245" s="900"/>
    </row>
    <row r="246" spans="2:12" ht="15.75" hidden="1" customHeight="1" outlineLevel="1">
      <c r="B246" s="908"/>
      <c r="C246" s="908"/>
      <c r="D246" s="908"/>
      <c r="E246" s="908"/>
      <c r="F246" s="908"/>
      <c r="G246" s="908"/>
      <c r="H246" s="908"/>
      <c r="I246" s="908"/>
      <c r="J246" s="908"/>
      <c r="K246" s="900"/>
      <c r="L246" s="900"/>
    </row>
    <row r="247" spans="2:12" ht="15.75" hidden="1" customHeight="1" outlineLevel="1">
      <c r="B247" s="1579" t="s">
        <v>663</v>
      </c>
      <c r="C247" s="1477"/>
      <c r="D247" s="1477"/>
      <c r="E247" s="1477"/>
      <c r="F247" s="1477"/>
      <c r="G247" s="1477"/>
      <c r="H247" s="1477"/>
      <c r="I247" s="1477"/>
      <c r="J247" s="1478"/>
      <c r="K247" s="900"/>
      <c r="L247" s="900"/>
    </row>
    <row r="248" spans="2:12" ht="15.75" hidden="1" customHeight="1" outlineLevel="1">
      <c r="B248" s="914">
        <v>3</v>
      </c>
      <c r="C248" s="1586" t="s">
        <v>435</v>
      </c>
      <c r="D248" s="1477"/>
      <c r="E248" s="1477"/>
      <c r="F248" s="1477"/>
      <c r="G248" s="1477"/>
      <c r="H248" s="1477"/>
      <c r="I248" s="1478"/>
      <c r="J248" s="914" t="s">
        <v>390</v>
      </c>
      <c r="K248" s="900"/>
      <c r="L248" s="900"/>
    </row>
    <row r="249" spans="2:12" ht="31.5" hidden="1" customHeight="1" outlineLevel="1">
      <c r="B249" s="915" t="s">
        <v>312</v>
      </c>
      <c r="C249" s="1587" t="s">
        <v>536</v>
      </c>
      <c r="D249" s="1477"/>
      <c r="E249" s="1477"/>
      <c r="F249" s="1477"/>
      <c r="G249" s="1477"/>
      <c r="H249" s="1477"/>
      <c r="I249" s="1478"/>
      <c r="J249" s="796">
        <f>ROUND((J227/12)+(J234/12),0)*1*0.05</f>
        <v>0</v>
      </c>
      <c r="K249" s="900"/>
      <c r="L249" s="900"/>
    </row>
    <row r="250" spans="2:12" ht="15.75" hidden="1" customHeight="1" outlineLevel="1">
      <c r="B250" s="915" t="s">
        <v>314</v>
      </c>
      <c r="C250" s="1587" t="s">
        <v>437</v>
      </c>
      <c r="D250" s="1477"/>
      <c r="E250" s="1477"/>
      <c r="F250" s="1477"/>
      <c r="G250" s="1477"/>
      <c r="H250" s="1477"/>
      <c r="I250" s="1478"/>
      <c r="J250" s="796">
        <f>(J249*I244)</f>
        <v>0</v>
      </c>
      <c r="K250" s="900"/>
      <c r="L250" s="900"/>
    </row>
    <row r="251" spans="2:12" ht="57.75" hidden="1" customHeight="1" outlineLevel="1">
      <c r="B251" s="915" t="s">
        <v>316</v>
      </c>
      <c r="C251" s="1588" t="s">
        <v>1099</v>
      </c>
      <c r="D251" s="1477"/>
      <c r="E251" s="1477"/>
      <c r="F251" s="1477"/>
      <c r="G251" s="1477"/>
      <c r="H251" s="1477"/>
      <c r="I251" s="916" t="s">
        <v>128</v>
      </c>
      <c r="J251" s="796">
        <f>ROUND(((7/30)/$I$11)*$J$227*1,2)</f>
        <v>0</v>
      </c>
      <c r="K251" s="900"/>
      <c r="L251" s="900"/>
    </row>
    <row r="252" spans="2:12" ht="15.75" hidden="1" customHeight="1" outlineLevel="1">
      <c r="B252" s="915" t="s">
        <v>318</v>
      </c>
      <c r="C252" s="1587" t="s">
        <v>439</v>
      </c>
      <c r="D252" s="1477"/>
      <c r="E252" s="1477"/>
      <c r="F252" s="1477"/>
      <c r="G252" s="1477"/>
      <c r="H252" s="1477"/>
      <c r="I252" s="1478"/>
      <c r="J252" s="796">
        <f>I245*J251</f>
        <v>0</v>
      </c>
      <c r="K252" s="900"/>
      <c r="L252" s="900"/>
    </row>
    <row r="253" spans="2:12" ht="36" hidden="1" customHeight="1" outlineLevel="1">
      <c r="B253" s="915" t="s">
        <v>360</v>
      </c>
      <c r="C253" s="1587" t="s">
        <v>538</v>
      </c>
      <c r="D253" s="1477"/>
      <c r="E253" s="1477"/>
      <c r="F253" s="1477"/>
      <c r="G253" s="1477"/>
      <c r="H253" s="1478"/>
      <c r="I253" s="917">
        <f>I123</f>
        <v>0.04</v>
      </c>
      <c r="J253" s="796">
        <f>I253*J227</f>
        <v>0</v>
      </c>
      <c r="K253" s="900"/>
      <c r="L253" s="900"/>
    </row>
    <row r="254" spans="2:12" ht="15.75" hidden="1" customHeight="1" outlineLevel="1">
      <c r="B254" s="1583" t="s">
        <v>441</v>
      </c>
      <c r="C254" s="1477"/>
      <c r="D254" s="1477"/>
      <c r="E254" s="1477"/>
      <c r="F254" s="1477"/>
      <c r="G254" s="1477"/>
      <c r="H254" s="1477"/>
      <c r="I254" s="1478"/>
      <c r="J254" s="775">
        <f>SUM(J249:J253)</f>
        <v>0</v>
      </c>
      <c r="K254" s="900"/>
      <c r="L254" s="900"/>
    </row>
    <row r="255" spans="2:12" ht="15.75" hidden="1" customHeight="1" outlineLevel="1">
      <c r="B255" s="908"/>
      <c r="C255" s="908"/>
      <c r="D255" s="908"/>
      <c r="E255" s="908"/>
      <c r="F255" s="908"/>
      <c r="G255" s="908"/>
      <c r="H255" s="908"/>
      <c r="I255" s="908"/>
      <c r="J255" s="908"/>
      <c r="K255" s="900"/>
      <c r="L255" s="900"/>
    </row>
    <row r="256" spans="2:12" ht="33" hidden="1" customHeight="1" outlineLevel="1">
      <c r="B256" s="1553" t="s">
        <v>539</v>
      </c>
      <c r="C256" s="1477"/>
      <c r="D256" s="1477"/>
      <c r="E256" s="1477"/>
      <c r="F256" s="1477"/>
      <c r="G256" s="1477"/>
      <c r="H256" s="1477"/>
      <c r="I256" s="1477"/>
      <c r="J256" s="1478"/>
      <c r="K256" s="900"/>
      <c r="L256" s="900"/>
    </row>
    <row r="257" spans="2:12" ht="36" hidden="1" customHeight="1" outlineLevel="1">
      <c r="B257" s="832" t="s">
        <v>540</v>
      </c>
      <c r="C257" s="833">
        <f>J227</f>
        <v>0</v>
      </c>
      <c r="D257" s="918" t="s">
        <v>446</v>
      </c>
      <c r="E257" s="832" t="s">
        <v>541</v>
      </c>
      <c r="F257" s="833">
        <f>J234+J245</f>
        <v>0</v>
      </c>
      <c r="G257" s="918" t="s">
        <v>446</v>
      </c>
      <c r="H257" s="832" t="s">
        <v>448</v>
      </c>
      <c r="I257" s="833">
        <f>J254</f>
        <v>0</v>
      </c>
      <c r="J257" s="835">
        <f>C257+F257+I257</f>
        <v>0</v>
      </c>
      <c r="K257" s="900"/>
      <c r="L257" s="900"/>
    </row>
    <row r="258" spans="2:12" ht="15.75" hidden="1" customHeight="1" outlineLevel="1">
      <c r="B258" s="908"/>
      <c r="C258" s="908"/>
      <c r="D258" s="908"/>
      <c r="E258" s="908"/>
      <c r="F258" s="908"/>
      <c r="G258" s="908"/>
      <c r="H258" s="908"/>
      <c r="I258" s="908"/>
      <c r="J258" s="908"/>
      <c r="K258" s="900"/>
      <c r="L258" s="900"/>
    </row>
    <row r="259" spans="2:12" ht="15.75" hidden="1" customHeight="1" outlineLevel="1">
      <c r="B259" s="1554" t="s">
        <v>449</v>
      </c>
      <c r="C259" s="1477"/>
      <c r="D259" s="1477"/>
      <c r="E259" s="1477"/>
      <c r="F259" s="1477"/>
      <c r="G259" s="1477"/>
      <c r="H259" s="1477"/>
      <c r="I259" s="1477"/>
      <c r="J259" s="1478"/>
      <c r="K259" s="900"/>
      <c r="L259" s="900"/>
    </row>
    <row r="260" spans="2:12" ht="15.75" hidden="1" customHeight="1" outlineLevel="1">
      <c r="B260" s="805" t="s">
        <v>450</v>
      </c>
      <c r="C260" s="1555" t="s">
        <v>752</v>
      </c>
      <c r="D260" s="1477"/>
      <c r="E260" s="1477"/>
      <c r="F260" s="1477"/>
      <c r="G260" s="1477"/>
      <c r="H260" s="1477"/>
      <c r="I260" s="1478"/>
      <c r="J260" s="839" t="s">
        <v>390</v>
      </c>
      <c r="K260" s="900"/>
      <c r="L260" s="900"/>
    </row>
    <row r="261" spans="2:12" ht="30.75" hidden="1" customHeight="1" outlineLevel="1">
      <c r="B261" s="919" t="s">
        <v>312</v>
      </c>
      <c r="C261" s="1556" t="s">
        <v>1100</v>
      </c>
      <c r="D261" s="1477"/>
      <c r="E261" s="1477"/>
      <c r="F261" s="1477"/>
      <c r="G261" s="1477"/>
      <c r="H261" s="840">
        <f t="shared" ref="H261:I261" si="16">H133</f>
        <v>9.0749999999999997E-2</v>
      </c>
      <c r="I261" s="920">
        <f t="shared" si="16"/>
        <v>0.33800000000000002</v>
      </c>
      <c r="J261" s="921">
        <f>IF('1-ABA-DE-CARREGAMENTO'!I81="S",(ROUND(H261*J227,2)*(1+I261)),IF('1-ABA-DE-CARREGAMENTO'!I81="N",0,"INFORME S ou N"))</f>
        <v>0</v>
      </c>
      <c r="K261" s="900"/>
      <c r="L261" s="900"/>
    </row>
    <row r="262" spans="2:12" ht="30.75" hidden="1" customHeight="1" outlineLevel="1">
      <c r="B262" s="919" t="s">
        <v>314</v>
      </c>
      <c r="C262" s="1556" t="s">
        <v>1101</v>
      </c>
      <c r="D262" s="1477"/>
      <c r="E262" s="1477"/>
      <c r="F262" s="1477"/>
      <c r="G262" s="1477"/>
      <c r="H262" s="1477"/>
      <c r="I262" s="1478"/>
      <c r="J262" s="922">
        <f>ROUND((1/30)/12*(J257),2)</f>
        <v>0</v>
      </c>
      <c r="K262" s="900"/>
      <c r="L262" s="900"/>
    </row>
    <row r="263" spans="2:12" ht="30.75" hidden="1" customHeight="1" outlineLevel="1">
      <c r="B263" s="919" t="s">
        <v>316</v>
      </c>
      <c r="C263" s="1556" t="s">
        <v>1102</v>
      </c>
      <c r="D263" s="1477"/>
      <c r="E263" s="1477"/>
      <c r="F263" s="1477"/>
      <c r="G263" s="1477"/>
      <c r="H263" s="1477"/>
      <c r="I263" s="1478"/>
      <c r="J263" s="923">
        <f>ROUND((5/30)/12*0.015*(J257),2)</f>
        <v>0</v>
      </c>
      <c r="K263" s="900"/>
      <c r="L263" s="900"/>
    </row>
    <row r="264" spans="2:12" ht="30.75" hidden="1" customHeight="1" outlineLevel="1">
      <c r="B264" s="919" t="s">
        <v>318</v>
      </c>
      <c r="C264" s="1556" t="s">
        <v>1103</v>
      </c>
      <c r="D264" s="1477"/>
      <c r="E264" s="1477"/>
      <c r="F264" s="1477"/>
      <c r="G264" s="1477"/>
      <c r="H264" s="1477"/>
      <c r="I264" s="1478"/>
      <c r="J264" s="923">
        <f>ROUND(((15/30)/12)*0.0078*(J257),2)</f>
        <v>0</v>
      </c>
      <c r="K264" s="900"/>
      <c r="L264" s="900"/>
    </row>
    <row r="265" spans="2:12" ht="30.75" hidden="1" customHeight="1" outlineLevel="1">
      <c r="B265" s="924" t="s">
        <v>360</v>
      </c>
      <c r="C265" s="1557" t="s">
        <v>1104</v>
      </c>
      <c r="D265" s="1477"/>
      <c r="E265" s="1477"/>
      <c r="F265" s="1477"/>
      <c r="G265" s="1477"/>
      <c r="H265" s="1477"/>
      <c r="I265" s="1478"/>
      <c r="J265" s="925">
        <f>ROUND((((C257+C257/3)+(I245)*(C257+C257/3))*(4/12))/12,0)*0.02+((J254*4)/12)*0.02</f>
        <v>0</v>
      </c>
      <c r="K265" s="900"/>
      <c r="L265" s="900"/>
    </row>
    <row r="266" spans="2:12" ht="57.75" hidden="1" customHeight="1" outlineLevel="1">
      <c r="B266" s="919" t="s">
        <v>364</v>
      </c>
      <c r="C266" s="1556" t="s">
        <v>1105</v>
      </c>
      <c r="D266" s="1477"/>
      <c r="E266" s="1477"/>
      <c r="F266" s="1477"/>
      <c r="G266" s="1477"/>
      <c r="H266" s="1477"/>
      <c r="I266" s="1478"/>
      <c r="J266" s="926">
        <f>ROUND(((3/30)/12)*(J257),2)</f>
        <v>0</v>
      </c>
      <c r="K266" s="900"/>
      <c r="L266" s="900"/>
    </row>
    <row r="267" spans="2:12" ht="15.75" hidden="1" customHeight="1" outlineLevel="1">
      <c r="B267" s="1558" t="s">
        <v>393</v>
      </c>
      <c r="C267" s="1477"/>
      <c r="D267" s="1477"/>
      <c r="E267" s="1477"/>
      <c r="F267" s="1477"/>
      <c r="G267" s="1477"/>
      <c r="H267" s="1477"/>
      <c r="I267" s="1478"/>
      <c r="J267" s="927">
        <f>SUM(J261:J266)</f>
        <v>0</v>
      </c>
      <c r="K267" s="900"/>
      <c r="L267" s="900"/>
    </row>
    <row r="268" spans="2:12" ht="15.75" hidden="1" customHeight="1" outlineLevel="1">
      <c r="B268" s="908"/>
      <c r="C268" s="908"/>
      <c r="D268" s="908"/>
      <c r="E268" s="908"/>
      <c r="F268" s="908"/>
      <c r="G268" s="908"/>
      <c r="H268" s="908"/>
      <c r="I268" s="908"/>
      <c r="J268" s="908"/>
      <c r="K268" s="900"/>
      <c r="L268" s="900"/>
    </row>
    <row r="269" spans="2:12" ht="15.75" hidden="1" customHeight="1" outlineLevel="1">
      <c r="B269" s="1559" t="s">
        <v>471</v>
      </c>
      <c r="C269" s="1477"/>
      <c r="D269" s="1477"/>
      <c r="E269" s="1477"/>
      <c r="F269" s="1477"/>
      <c r="G269" s="1477"/>
      <c r="H269" s="1477"/>
      <c r="I269" s="1477"/>
      <c r="J269" s="1478"/>
      <c r="K269" s="900"/>
      <c r="L269" s="900"/>
    </row>
    <row r="270" spans="2:12" ht="15.75" hidden="1" customHeight="1" outlineLevel="1">
      <c r="B270" s="805">
        <v>6</v>
      </c>
      <c r="C270" s="1555" t="s">
        <v>549</v>
      </c>
      <c r="D270" s="1477"/>
      <c r="E270" s="1477"/>
      <c r="F270" s="1477"/>
      <c r="G270" s="1477"/>
      <c r="H270" s="1478"/>
      <c r="I270" s="863" t="s">
        <v>354</v>
      </c>
      <c r="J270" s="864" t="s">
        <v>398</v>
      </c>
      <c r="K270" s="900"/>
      <c r="L270" s="900"/>
    </row>
    <row r="271" spans="2:12" ht="15.75" hidden="1" customHeight="1" outlineLevel="1">
      <c r="B271" s="1560" t="s">
        <v>473</v>
      </c>
      <c r="C271" s="1477"/>
      <c r="D271" s="1477"/>
      <c r="E271" s="1477"/>
      <c r="F271" s="1477"/>
      <c r="G271" s="1477"/>
      <c r="H271" s="1478"/>
      <c r="I271" s="434" t="str">
        <f t="shared" ref="I271:I284" si="17">I163</f>
        <v>-</v>
      </c>
      <c r="J271" s="866">
        <f>J227+J234+J245+J254+J267</f>
        <v>0</v>
      </c>
      <c r="K271" s="900"/>
      <c r="L271" s="900"/>
    </row>
    <row r="272" spans="2:12" ht="15.75" hidden="1" customHeight="1" outlineLevel="1">
      <c r="B272" s="743" t="s">
        <v>312</v>
      </c>
      <c r="C272" s="1561" t="s">
        <v>474</v>
      </c>
      <c r="D272" s="1477"/>
      <c r="E272" s="1477"/>
      <c r="F272" s="1477"/>
      <c r="G272" s="1477"/>
      <c r="H272" s="1478"/>
      <c r="I272" s="868">
        <f t="shared" si="17"/>
        <v>0.06</v>
      </c>
      <c r="J272" s="796">
        <f>ROUND(I272*J271,2)</f>
        <v>0</v>
      </c>
      <c r="K272" s="900"/>
      <c r="L272" s="900"/>
    </row>
    <row r="273" spans="2:12" ht="15.75" hidden="1" customHeight="1" outlineLevel="1">
      <c r="B273" s="1560" t="s">
        <v>475</v>
      </c>
      <c r="C273" s="1477"/>
      <c r="D273" s="1477"/>
      <c r="E273" s="1477"/>
      <c r="F273" s="1477"/>
      <c r="G273" s="1477"/>
      <c r="H273" s="1478"/>
      <c r="I273" s="868" t="str">
        <f t="shared" si="17"/>
        <v>-</v>
      </c>
      <c r="J273" s="866">
        <f>J227+J234+J245+J254+J267+J272</f>
        <v>0</v>
      </c>
      <c r="K273" s="900"/>
      <c r="L273" s="900"/>
    </row>
    <row r="274" spans="2:12" ht="15.75" hidden="1" customHeight="1" outlineLevel="1">
      <c r="B274" s="743" t="s">
        <v>314</v>
      </c>
      <c r="C274" s="1561" t="s">
        <v>251</v>
      </c>
      <c r="D274" s="1477"/>
      <c r="E274" s="1477"/>
      <c r="F274" s="1477"/>
      <c r="G274" s="1477"/>
      <c r="H274" s="1478"/>
      <c r="I274" s="868">
        <f t="shared" si="17"/>
        <v>0.06</v>
      </c>
      <c r="J274" s="796">
        <f>ROUND(I274*J273,2)</f>
        <v>0</v>
      </c>
      <c r="K274" s="900"/>
      <c r="L274" s="900"/>
    </row>
    <row r="275" spans="2:12" ht="15.75" hidden="1" customHeight="1" outlineLevel="1">
      <c r="B275" s="1560" t="s">
        <v>476</v>
      </c>
      <c r="C275" s="1477"/>
      <c r="D275" s="1477"/>
      <c r="E275" s="1477"/>
      <c r="F275" s="1477"/>
      <c r="G275" s="1477"/>
      <c r="H275" s="1478"/>
      <c r="I275" s="868" t="str">
        <f t="shared" si="17"/>
        <v>-</v>
      </c>
      <c r="J275" s="866">
        <f>SUM(J271+J272+J274)</f>
        <v>0</v>
      </c>
      <c r="K275" s="900"/>
      <c r="L275" s="900"/>
    </row>
    <row r="276" spans="2:12" ht="15.75" hidden="1" customHeight="1" outlineLevel="1">
      <c r="B276" s="870" t="s">
        <v>316</v>
      </c>
      <c r="C276" s="1559" t="s">
        <v>477</v>
      </c>
      <c r="D276" s="1477"/>
      <c r="E276" s="1477"/>
      <c r="F276" s="1477"/>
      <c r="G276" s="1477"/>
      <c r="H276" s="1478"/>
      <c r="I276" s="868" t="str">
        <f t="shared" si="17"/>
        <v>-</v>
      </c>
      <c r="J276" s="769" t="s">
        <v>325</v>
      </c>
      <c r="K276" s="900"/>
      <c r="L276" s="900"/>
    </row>
    <row r="277" spans="2:12" ht="15.75" hidden="1" customHeight="1" outlineLevel="1">
      <c r="B277" s="743"/>
      <c r="C277" s="1589" t="s">
        <v>478</v>
      </c>
      <c r="D277" s="1477"/>
      <c r="E277" s="1477"/>
      <c r="F277" s="1477"/>
      <c r="G277" s="1477"/>
      <c r="H277" s="1478"/>
      <c r="I277" s="868" t="str">
        <f t="shared" si="17"/>
        <v>-</v>
      </c>
      <c r="J277" s="769" t="s">
        <v>325</v>
      </c>
      <c r="K277" s="900"/>
      <c r="L277" s="900"/>
    </row>
    <row r="278" spans="2:12" ht="15.75" hidden="1" customHeight="1" outlineLevel="1">
      <c r="B278" s="743"/>
      <c r="C278" s="1590" t="s">
        <v>1106</v>
      </c>
      <c r="D278" s="1477"/>
      <c r="E278" s="1477"/>
      <c r="F278" s="1477"/>
      <c r="G278" s="1477"/>
      <c r="H278" s="1478"/>
      <c r="I278" s="868">
        <f t="shared" si="17"/>
        <v>1.6500000000000001E-2</v>
      </c>
      <c r="J278" s="758">
        <f t="shared" ref="J278:J279" si="18">ROUND(($J$275/(1-$I$179))*I278,2)</f>
        <v>0</v>
      </c>
      <c r="K278" s="900"/>
      <c r="L278" s="900"/>
    </row>
    <row r="279" spans="2:12" ht="15.75" hidden="1" customHeight="1" outlineLevel="1">
      <c r="B279" s="743"/>
      <c r="C279" s="1590" t="s">
        <v>1107</v>
      </c>
      <c r="D279" s="1477"/>
      <c r="E279" s="1477"/>
      <c r="F279" s="1477"/>
      <c r="G279" s="1477"/>
      <c r="H279" s="1478"/>
      <c r="I279" s="868">
        <f t="shared" si="17"/>
        <v>7.5999999999999998E-2</v>
      </c>
      <c r="J279" s="758">
        <f t="shared" si="18"/>
        <v>0</v>
      </c>
      <c r="K279" s="900"/>
      <c r="L279" s="900"/>
    </row>
    <row r="280" spans="2:12" ht="15.75" hidden="1" customHeight="1" outlineLevel="1">
      <c r="B280" s="743"/>
      <c r="C280" s="1577" t="s">
        <v>1108</v>
      </c>
      <c r="D280" s="1477"/>
      <c r="E280" s="1477"/>
      <c r="F280" s="1477"/>
      <c r="G280" s="1477"/>
      <c r="H280" s="1478"/>
      <c r="I280" s="868" t="str">
        <f t="shared" si="17"/>
        <v>-</v>
      </c>
      <c r="J280" s="769" t="s">
        <v>325</v>
      </c>
      <c r="K280" s="900"/>
      <c r="L280" s="900"/>
    </row>
    <row r="281" spans="2:12" ht="15.75" hidden="1" customHeight="1" outlineLevel="1">
      <c r="B281" s="743"/>
      <c r="C281" s="1577" t="s">
        <v>1109</v>
      </c>
      <c r="D281" s="1477"/>
      <c r="E281" s="1477"/>
      <c r="F281" s="1477"/>
      <c r="G281" s="1477"/>
      <c r="H281" s="1478"/>
      <c r="I281" s="868" t="str">
        <f t="shared" si="17"/>
        <v>-</v>
      </c>
      <c r="J281" s="769" t="s">
        <v>325</v>
      </c>
      <c r="K281" s="900"/>
      <c r="L281" s="900"/>
    </row>
    <row r="282" spans="2:12" ht="15.75" hidden="1" customHeight="1" outlineLevel="1">
      <c r="B282" s="743"/>
      <c r="C282" s="1577" t="s">
        <v>483</v>
      </c>
      <c r="D282" s="1477"/>
      <c r="E282" s="1477"/>
      <c r="F282" s="1477"/>
      <c r="G282" s="1477"/>
      <c r="H282" s="1477"/>
      <c r="I282" s="868" t="str">
        <f t="shared" si="17"/>
        <v>-</v>
      </c>
      <c r="J282" s="769" t="s">
        <v>325</v>
      </c>
      <c r="K282" s="900"/>
      <c r="L282" s="900"/>
    </row>
    <row r="283" spans="2:12" ht="15.75" hidden="1" customHeight="1" outlineLevel="1">
      <c r="B283" s="743"/>
      <c r="C283" s="1577" t="s">
        <v>484</v>
      </c>
      <c r="D283" s="1477"/>
      <c r="E283" s="1477"/>
      <c r="F283" s="1477"/>
      <c r="G283" s="1477"/>
      <c r="H283" s="1477"/>
      <c r="I283" s="868" t="str">
        <f t="shared" si="17"/>
        <v>-</v>
      </c>
      <c r="J283" s="769" t="s">
        <v>325</v>
      </c>
      <c r="K283" s="900"/>
      <c r="L283" s="900"/>
    </row>
    <row r="284" spans="2:12" ht="15.75" hidden="1" customHeight="1" outlineLevel="1">
      <c r="B284" s="743"/>
      <c r="C284" s="1577" t="s">
        <v>485</v>
      </c>
      <c r="D284" s="1477"/>
      <c r="E284" s="1477"/>
      <c r="F284" s="1477"/>
      <c r="G284" s="1477"/>
      <c r="H284" s="1478"/>
      <c r="I284" s="868">
        <f t="shared" si="17"/>
        <v>0.02</v>
      </c>
      <c r="J284" s="758">
        <f>ROUND(($J$275/(1-$I$179))*I284,2)</f>
        <v>0</v>
      </c>
      <c r="K284" s="900"/>
      <c r="L284" s="900"/>
    </row>
    <row r="285" spans="2:12" ht="15.75" hidden="1" customHeight="1" outlineLevel="1">
      <c r="B285" s="1585" t="s">
        <v>441</v>
      </c>
      <c r="C285" s="1477"/>
      <c r="D285" s="1477"/>
      <c r="E285" s="1477"/>
      <c r="F285" s="1477"/>
      <c r="G285" s="1477"/>
      <c r="H285" s="1477"/>
      <c r="I285" s="1478"/>
      <c r="J285" s="788">
        <f>SUM(J272+J274+J278+J279+J284)</f>
        <v>0</v>
      </c>
      <c r="K285" s="900"/>
      <c r="L285" s="900"/>
    </row>
    <row r="286" spans="2:12" ht="15.75" hidden="1" customHeight="1" outlineLevel="1">
      <c r="B286" s="908"/>
      <c r="C286" s="908"/>
      <c r="D286" s="908"/>
      <c r="E286" s="908"/>
      <c r="F286" s="908"/>
      <c r="G286" s="908"/>
      <c r="H286" s="908"/>
      <c r="I286" s="908"/>
      <c r="J286" s="908"/>
      <c r="K286" s="900"/>
      <c r="L286" s="900"/>
    </row>
    <row r="287" spans="2:12" ht="15.75" hidden="1" customHeight="1" outlineLevel="1">
      <c r="B287" s="1572" t="s">
        <v>554</v>
      </c>
      <c r="C287" s="1477"/>
      <c r="D287" s="1477"/>
      <c r="E287" s="1477"/>
      <c r="F287" s="1477"/>
      <c r="G287" s="1477"/>
      <c r="H287" s="1477"/>
      <c r="I287" s="1478"/>
      <c r="J287" s="863" t="s">
        <v>390</v>
      </c>
      <c r="K287" s="900"/>
      <c r="L287" s="900"/>
    </row>
    <row r="288" spans="2:12" ht="15.75" hidden="1" customHeight="1" outlineLevel="1">
      <c r="B288" s="880" t="s">
        <v>312</v>
      </c>
      <c r="C288" s="1599" t="s">
        <v>494</v>
      </c>
      <c r="D288" s="1477"/>
      <c r="E288" s="1477"/>
      <c r="F288" s="1477"/>
      <c r="G288" s="1477"/>
      <c r="H288" s="1477"/>
      <c r="I288" s="1477"/>
      <c r="J288" s="881">
        <f>J227</f>
        <v>0</v>
      </c>
      <c r="K288" s="900"/>
      <c r="L288" s="900"/>
    </row>
    <row r="289" spans="2:12" ht="15.75" hidden="1" customHeight="1" outlineLevel="1">
      <c r="B289" s="880" t="s">
        <v>314</v>
      </c>
      <c r="C289" s="1599" t="s">
        <v>495</v>
      </c>
      <c r="D289" s="1477"/>
      <c r="E289" s="1477"/>
      <c r="F289" s="1477"/>
      <c r="G289" s="1477"/>
      <c r="H289" s="1477"/>
      <c r="I289" s="1477"/>
      <c r="J289" s="881">
        <f>J234+J245</f>
        <v>0</v>
      </c>
      <c r="K289" s="900"/>
      <c r="L289" s="900"/>
    </row>
    <row r="290" spans="2:12" ht="15.75" hidden="1" customHeight="1" outlineLevel="1">
      <c r="B290" s="880" t="s">
        <v>316</v>
      </c>
      <c r="C290" s="1599" t="s">
        <v>496</v>
      </c>
      <c r="D290" s="1477"/>
      <c r="E290" s="1477"/>
      <c r="F290" s="1477"/>
      <c r="G290" s="1477"/>
      <c r="H290" s="1477"/>
      <c r="I290" s="1477"/>
      <c r="J290" s="881">
        <f>J254</f>
        <v>0</v>
      </c>
      <c r="K290" s="900"/>
      <c r="L290" s="900"/>
    </row>
    <row r="291" spans="2:12" ht="15.75" hidden="1" customHeight="1" outlineLevel="1">
      <c r="B291" s="880" t="s">
        <v>318</v>
      </c>
      <c r="C291" s="1599" t="s">
        <v>497</v>
      </c>
      <c r="D291" s="1477"/>
      <c r="E291" s="1477"/>
      <c r="F291" s="1477"/>
      <c r="G291" s="1477"/>
      <c r="H291" s="1477"/>
      <c r="I291" s="1477"/>
      <c r="J291" s="881">
        <f>J267</f>
        <v>0</v>
      </c>
      <c r="K291" s="900"/>
      <c r="L291" s="900"/>
    </row>
    <row r="292" spans="2:12" ht="15.75" hidden="1" customHeight="1" outlineLevel="1">
      <c r="B292" s="880" t="s">
        <v>360</v>
      </c>
      <c r="C292" s="1599" t="s">
        <v>498</v>
      </c>
      <c r="D292" s="1477"/>
      <c r="E292" s="1477"/>
      <c r="F292" s="1477"/>
      <c r="G292" s="1477"/>
      <c r="H292" s="1477"/>
      <c r="I292" s="1477"/>
      <c r="J292" s="881">
        <v>0</v>
      </c>
      <c r="K292" s="900"/>
      <c r="L292" s="900"/>
    </row>
    <row r="293" spans="2:12" ht="15.75" hidden="1" customHeight="1" outlineLevel="1">
      <c r="B293" s="1600" t="s">
        <v>499</v>
      </c>
      <c r="C293" s="1477"/>
      <c r="D293" s="1477"/>
      <c r="E293" s="1477"/>
      <c r="F293" s="1477"/>
      <c r="G293" s="1477"/>
      <c r="H293" s="1477"/>
      <c r="I293" s="1521"/>
      <c r="J293" s="857">
        <f>SUM(J288:J292)</f>
        <v>0</v>
      </c>
      <c r="K293" s="900"/>
      <c r="L293" s="900"/>
    </row>
    <row r="294" spans="2:12" ht="15.75" hidden="1" customHeight="1" outlineLevel="1">
      <c r="B294" s="882" t="s">
        <v>364</v>
      </c>
      <c r="C294" s="1599" t="s">
        <v>471</v>
      </c>
      <c r="D294" s="1477"/>
      <c r="E294" s="1477"/>
      <c r="F294" s="1477"/>
      <c r="G294" s="1477"/>
      <c r="H294" s="1477"/>
      <c r="I294" s="1477"/>
      <c r="J294" s="881">
        <f>J285</f>
        <v>0</v>
      </c>
      <c r="K294" s="900"/>
      <c r="L294" s="900"/>
    </row>
    <row r="295" spans="2:12" ht="15.75" hidden="1" customHeight="1" outlineLevel="1">
      <c r="B295" s="1601" t="s">
        <v>555</v>
      </c>
      <c r="C295" s="1477"/>
      <c r="D295" s="1477"/>
      <c r="E295" s="1477"/>
      <c r="F295" s="1477"/>
      <c r="G295" s="1477"/>
      <c r="H295" s="1477"/>
      <c r="I295" s="1521"/>
      <c r="J295" s="928">
        <f>J293+J294</f>
        <v>0</v>
      </c>
      <c r="K295" s="897" t="s">
        <v>556</v>
      </c>
      <c r="L295" s="897" t="str">
        <f>L203</f>
        <v>3341-10_MONITOR-de-ALUNOS_40h</v>
      </c>
    </row>
    <row r="296" spans="2:12" ht="15.75" hidden="1" customHeight="1" outlineLevel="1">
      <c r="B296" s="908"/>
      <c r="C296" s="908"/>
      <c r="D296" s="908"/>
      <c r="E296" s="908"/>
      <c r="F296" s="908"/>
      <c r="G296" s="908"/>
      <c r="H296" s="908"/>
      <c r="I296" s="908"/>
      <c r="J296" s="908"/>
      <c r="K296" s="900"/>
      <c r="L296" s="900"/>
    </row>
    <row r="297" spans="2:12" ht="36.75" hidden="1" customHeight="1" outlineLevel="1">
      <c r="B297" s="929" t="s">
        <v>557</v>
      </c>
      <c r="C297" s="906"/>
      <c r="D297" s="906"/>
      <c r="E297" s="906"/>
      <c r="F297" s="906"/>
      <c r="G297" s="1023" t="str">
        <f>G219</f>
        <v>3341-10_MONITOR-de-ALUNOS_40h</v>
      </c>
      <c r="H297" s="906"/>
      <c r="I297" s="906"/>
      <c r="J297" s="906"/>
      <c r="K297" s="900"/>
      <c r="L297" s="900"/>
    </row>
    <row r="298" spans="2:12" ht="15.75" hidden="1" customHeight="1" outlineLevel="1">
      <c r="B298" s="931"/>
      <c r="C298" s="931"/>
      <c r="D298" s="931"/>
      <c r="E298" s="931"/>
      <c r="F298" s="931"/>
      <c r="G298" s="931"/>
      <c r="H298" s="931"/>
      <c r="I298" s="931"/>
      <c r="J298" s="931"/>
      <c r="K298" s="900"/>
      <c r="L298" s="900"/>
    </row>
    <row r="299" spans="2:12" ht="15.75" hidden="1" customHeight="1" outlineLevel="1">
      <c r="B299" s="1602" t="s">
        <v>410</v>
      </c>
      <c r="C299" s="1477"/>
      <c r="D299" s="1477"/>
      <c r="E299" s="1477"/>
      <c r="F299" s="1477"/>
      <c r="G299" s="1477"/>
      <c r="H299" s="1477"/>
      <c r="I299" s="1477"/>
      <c r="J299" s="1478"/>
      <c r="K299" s="900"/>
      <c r="L299" s="900"/>
    </row>
    <row r="300" spans="2:12" ht="15.75" hidden="1" customHeight="1" outlineLevel="1">
      <c r="B300" s="805" t="s">
        <v>411</v>
      </c>
      <c r="C300" s="1603" t="s">
        <v>558</v>
      </c>
      <c r="D300" s="1477"/>
      <c r="E300" s="1477"/>
      <c r="F300" s="1477"/>
      <c r="G300" s="1477"/>
      <c r="H300" s="1477"/>
      <c r="I300" s="1478"/>
      <c r="J300" s="806" t="s">
        <v>390</v>
      </c>
      <c r="K300" s="900"/>
      <c r="L300" s="900"/>
    </row>
    <row r="301" spans="2:12" ht="42.75" hidden="1" customHeight="1" outlineLevel="1">
      <c r="B301" s="932" t="s">
        <v>559</v>
      </c>
      <c r="C301" s="932" t="s">
        <v>560</v>
      </c>
      <c r="D301" s="933" t="s">
        <v>561</v>
      </c>
      <c r="E301" s="932" t="s">
        <v>562</v>
      </c>
      <c r="F301" s="934" t="s">
        <v>563</v>
      </c>
      <c r="G301" s="932" t="s">
        <v>564</v>
      </c>
      <c r="H301" s="935" t="s">
        <v>565</v>
      </c>
      <c r="I301" s="936"/>
      <c r="J301" s="937"/>
      <c r="K301" s="900"/>
      <c r="L301" s="900"/>
    </row>
    <row r="302" spans="2:12" ht="42.75" hidden="1" customHeight="1" outlineLevel="1">
      <c r="B302" s="1604" t="s">
        <v>566</v>
      </c>
      <c r="C302" s="938" t="s">
        <v>567</v>
      </c>
      <c r="D302" s="939">
        <v>425</v>
      </c>
      <c r="E302" s="940" t="s">
        <v>568</v>
      </c>
      <c r="F302" s="941">
        <v>380</v>
      </c>
      <c r="G302" s="942" t="s">
        <v>569</v>
      </c>
      <c r="H302" s="943">
        <v>335</v>
      </c>
      <c r="I302" s="944"/>
      <c r="J302" s="945">
        <f>(D302*D303)+(F302*F303)+(H302*H303)</f>
        <v>0</v>
      </c>
      <c r="K302" s="900"/>
      <c r="L302" s="900"/>
    </row>
    <row r="303" spans="2:12" ht="42.75" hidden="1" customHeight="1" outlineLevel="1">
      <c r="B303" s="1605"/>
      <c r="C303" s="946" t="s">
        <v>570</v>
      </c>
      <c r="D303" s="947">
        <v>0</v>
      </c>
      <c r="E303" s="946" t="s">
        <v>571</v>
      </c>
      <c r="F303" s="947">
        <v>0</v>
      </c>
      <c r="G303" s="946" t="s">
        <v>572</v>
      </c>
      <c r="H303" s="948">
        <v>0</v>
      </c>
      <c r="I303" s="949"/>
      <c r="J303" s="950"/>
      <c r="K303" s="900"/>
      <c r="L303" s="900"/>
    </row>
    <row r="304" spans="2:12" ht="15.75" hidden="1" customHeight="1" outlineLevel="1">
      <c r="B304" s="1026"/>
      <c r="C304" s="1585" t="s">
        <v>393</v>
      </c>
      <c r="D304" s="1477"/>
      <c r="E304" s="1477"/>
      <c r="F304" s="1477"/>
      <c r="G304" s="1477"/>
      <c r="H304" s="1477"/>
      <c r="I304" s="1521"/>
      <c r="J304" s="788">
        <f>J302</f>
        <v>0</v>
      </c>
      <c r="K304" s="900"/>
      <c r="L304" s="900"/>
    </row>
    <row r="305" spans="2:12" ht="15.75" hidden="1" customHeight="1" outlineLevel="1">
      <c r="B305" s="908"/>
      <c r="C305" s="908"/>
      <c r="D305" s="908"/>
      <c r="E305" s="908"/>
      <c r="F305" s="908"/>
      <c r="G305" s="908"/>
      <c r="H305" s="908"/>
      <c r="I305" s="908"/>
      <c r="J305" s="908"/>
      <c r="K305" s="900"/>
      <c r="L305" s="900"/>
    </row>
    <row r="306" spans="2:12" ht="15.75" hidden="1" customHeight="1" outlineLevel="1">
      <c r="B306" s="805">
        <v>6</v>
      </c>
      <c r="C306" s="1555" t="s">
        <v>1110</v>
      </c>
      <c r="D306" s="1477"/>
      <c r="E306" s="1477"/>
      <c r="F306" s="1477"/>
      <c r="G306" s="1477"/>
      <c r="H306" s="1478"/>
      <c r="I306" s="863" t="s">
        <v>354</v>
      </c>
      <c r="J306" s="864" t="s">
        <v>398</v>
      </c>
      <c r="K306" s="900"/>
      <c r="L306" s="900"/>
    </row>
    <row r="307" spans="2:12" ht="15.75" hidden="1" customHeight="1" outlineLevel="1">
      <c r="B307" s="1560" t="s">
        <v>473</v>
      </c>
      <c r="C307" s="1477"/>
      <c r="D307" s="1477"/>
      <c r="E307" s="1477"/>
      <c r="F307" s="1477"/>
      <c r="G307" s="1477"/>
      <c r="H307" s="1478"/>
      <c r="I307" s="434" t="str">
        <f t="shared" ref="I307:I320" si="19">I271</f>
        <v>-</v>
      </c>
      <c r="J307" s="866">
        <f>J304</f>
        <v>0</v>
      </c>
      <c r="K307" s="900"/>
      <c r="L307" s="900"/>
    </row>
    <row r="308" spans="2:12" ht="15.75" hidden="1" customHeight="1" outlineLevel="1">
      <c r="B308" s="743" t="s">
        <v>312</v>
      </c>
      <c r="C308" s="1561" t="s">
        <v>474</v>
      </c>
      <c r="D308" s="1477"/>
      <c r="E308" s="1477"/>
      <c r="F308" s="1477"/>
      <c r="G308" s="1477"/>
      <c r="H308" s="1478"/>
      <c r="I308" s="868">
        <f t="shared" si="19"/>
        <v>0.06</v>
      </c>
      <c r="J308" s="796">
        <f>ROUND(I308*J307,2)</f>
        <v>0</v>
      </c>
      <c r="K308" s="900"/>
      <c r="L308" s="900"/>
    </row>
    <row r="309" spans="2:12" ht="15.75" hidden="1" customHeight="1" outlineLevel="1">
      <c r="B309" s="1560" t="s">
        <v>475</v>
      </c>
      <c r="C309" s="1477"/>
      <c r="D309" s="1477"/>
      <c r="E309" s="1477"/>
      <c r="F309" s="1477"/>
      <c r="G309" s="1477"/>
      <c r="H309" s="1478"/>
      <c r="I309" s="868" t="str">
        <f t="shared" si="19"/>
        <v>-</v>
      </c>
      <c r="J309" s="866">
        <f>J307+J308</f>
        <v>0</v>
      </c>
      <c r="K309" s="900"/>
      <c r="L309" s="900"/>
    </row>
    <row r="310" spans="2:12" ht="15.75" hidden="1" customHeight="1" outlineLevel="1">
      <c r="B310" s="743" t="s">
        <v>314</v>
      </c>
      <c r="C310" s="1561" t="s">
        <v>251</v>
      </c>
      <c r="D310" s="1477"/>
      <c r="E310" s="1477"/>
      <c r="F310" s="1477"/>
      <c r="G310" s="1477"/>
      <c r="H310" s="1478"/>
      <c r="I310" s="868">
        <f t="shared" si="19"/>
        <v>0.06</v>
      </c>
      <c r="J310" s="796">
        <f>ROUND(I310*J309,2)</f>
        <v>0</v>
      </c>
      <c r="K310" s="900"/>
      <c r="L310" s="900"/>
    </row>
    <row r="311" spans="2:12" ht="15.75" hidden="1" customHeight="1" outlineLevel="1">
      <c r="B311" s="1560" t="s">
        <v>476</v>
      </c>
      <c r="C311" s="1477"/>
      <c r="D311" s="1477"/>
      <c r="E311" s="1477"/>
      <c r="F311" s="1477"/>
      <c r="G311" s="1477"/>
      <c r="H311" s="1478"/>
      <c r="I311" s="868" t="str">
        <f t="shared" si="19"/>
        <v>-</v>
      </c>
      <c r="J311" s="866">
        <f>SUM(J307+J308+J310)</f>
        <v>0</v>
      </c>
      <c r="K311" s="900"/>
      <c r="L311" s="900"/>
    </row>
    <row r="312" spans="2:12" ht="15.75" hidden="1" customHeight="1" outlineLevel="1">
      <c r="B312" s="870" t="s">
        <v>316</v>
      </c>
      <c r="C312" s="1559" t="s">
        <v>477</v>
      </c>
      <c r="D312" s="1477"/>
      <c r="E312" s="1477"/>
      <c r="F312" s="1477"/>
      <c r="G312" s="1477"/>
      <c r="H312" s="1478"/>
      <c r="I312" s="868" t="str">
        <f t="shared" si="19"/>
        <v>-</v>
      </c>
      <c r="J312" s="769" t="s">
        <v>325</v>
      </c>
      <c r="K312" s="900"/>
      <c r="L312" s="900"/>
    </row>
    <row r="313" spans="2:12" ht="15.75" hidden="1" customHeight="1" outlineLevel="1">
      <c r="B313" s="743"/>
      <c r="C313" s="1589" t="s">
        <v>478</v>
      </c>
      <c r="D313" s="1477"/>
      <c r="E313" s="1477"/>
      <c r="F313" s="1477"/>
      <c r="G313" s="1477"/>
      <c r="H313" s="1478"/>
      <c r="I313" s="868" t="str">
        <f t="shared" si="19"/>
        <v>-</v>
      </c>
      <c r="J313" s="769" t="s">
        <v>325</v>
      </c>
      <c r="K313" s="900"/>
      <c r="L313" s="900"/>
    </row>
    <row r="314" spans="2:12" ht="15.75" hidden="1" customHeight="1" outlineLevel="1">
      <c r="B314" s="743"/>
      <c r="C314" s="1590" t="s">
        <v>1111</v>
      </c>
      <c r="D314" s="1477"/>
      <c r="E314" s="1477"/>
      <c r="F314" s="1477"/>
      <c r="G314" s="1477"/>
      <c r="H314" s="1478"/>
      <c r="I314" s="868">
        <f t="shared" si="19"/>
        <v>1.6500000000000001E-2</v>
      </c>
      <c r="J314" s="758">
        <f t="shared" ref="J314:J315" si="20">ROUND(($J$311/(1-$I$179))*I314,2)</f>
        <v>0</v>
      </c>
      <c r="K314" s="900"/>
      <c r="L314" s="900"/>
    </row>
    <row r="315" spans="2:12" ht="15.75" hidden="1" customHeight="1" outlineLevel="1">
      <c r="B315" s="743"/>
      <c r="C315" s="1590" t="s">
        <v>1112</v>
      </c>
      <c r="D315" s="1477"/>
      <c r="E315" s="1477"/>
      <c r="F315" s="1477"/>
      <c r="G315" s="1477"/>
      <c r="H315" s="1478"/>
      <c r="I315" s="868">
        <f t="shared" si="19"/>
        <v>7.5999999999999998E-2</v>
      </c>
      <c r="J315" s="758">
        <f t="shared" si="20"/>
        <v>0</v>
      </c>
      <c r="K315" s="900"/>
      <c r="L315" s="900"/>
    </row>
    <row r="316" spans="2:12" ht="15.75" hidden="1" customHeight="1" outlineLevel="1">
      <c r="B316" s="743"/>
      <c r="C316" s="1577" t="s">
        <v>1113</v>
      </c>
      <c r="D316" s="1477"/>
      <c r="E316" s="1477"/>
      <c r="F316" s="1477"/>
      <c r="G316" s="1477"/>
      <c r="H316" s="1478"/>
      <c r="I316" s="868" t="str">
        <f t="shared" si="19"/>
        <v>-</v>
      </c>
      <c r="J316" s="951" t="s">
        <v>325</v>
      </c>
      <c r="K316" s="952"/>
      <c r="L316" s="953"/>
    </row>
    <row r="317" spans="2:12" ht="15.75" hidden="1" customHeight="1" outlineLevel="1">
      <c r="B317" s="743"/>
      <c r="C317" s="1577" t="s">
        <v>1114</v>
      </c>
      <c r="D317" s="1477"/>
      <c r="E317" s="1477"/>
      <c r="F317" s="1477"/>
      <c r="G317" s="1477"/>
      <c r="H317" s="1478"/>
      <c r="I317" s="868" t="str">
        <f t="shared" si="19"/>
        <v>-</v>
      </c>
      <c r="J317" s="769" t="s">
        <v>325</v>
      </c>
      <c r="K317" s="900"/>
      <c r="L317" s="900"/>
    </row>
    <row r="318" spans="2:12" ht="15.75" hidden="1" customHeight="1" outlineLevel="1">
      <c r="B318" s="743"/>
      <c r="C318" s="1577" t="s">
        <v>483</v>
      </c>
      <c r="D318" s="1477"/>
      <c r="E318" s="1477"/>
      <c r="F318" s="1477"/>
      <c r="G318" s="1477"/>
      <c r="H318" s="1477"/>
      <c r="I318" s="868" t="str">
        <f t="shared" si="19"/>
        <v>-</v>
      </c>
      <c r="J318" s="769" t="s">
        <v>325</v>
      </c>
      <c r="K318" s="900"/>
      <c r="L318" s="900"/>
    </row>
    <row r="319" spans="2:12" ht="15.75" hidden="1" customHeight="1" outlineLevel="1">
      <c r="B319" s="743"/>
      <c r="C319" s="1577" t="s">
        <v>484</v>
      </c>
      <c r="D319" s="1477"/>
      <c r="E319" s="1477"/>
      <c r="F319" s="1477"/>
      <c r="G319" s="1477"/>
      <c r="H319" s="1477"/>
      <c r="I319" s="868" t="str">
        <f t="shared" si="19"/>
        <v>-</v>
      </c>
      <c r="J319" s="769" t="s">
        <v>325</v>
      </c>
      <c r="K319" s="900"/>
      <c r="L319" s="900"/>
    </row>
    <row r="320" spans="2:12" ht="15.75" hidden="1" customHeight="1" outlineLevel="1">
      <c r="B320" s="743"/>
      <c r="C320" s="1577" t="s">
        <v>485</v>
      </c>
      <c r="D320" s="1477"/>
      <c r="E320" s="1477"/>
      <c r="F320" s="1477"/>
      <c r="G320" s="1477"/>
      <c r="H320" s="1478"/>
      <c r="I320" s="868">
        <f t="shared" si="19"/>
        <v>0.02</v>
      </c>
      <c r="J320" s="758">
        <f>ROUND(($J$311/(1-$I$179))*I320,2)</f>
        <v>0</v>
      </c>
      <c r="K320" s="900"/>
      <c r="L320" s="900"/>
    </row>
    <row r="321" spans="2:12" ht="15.75" hidden="1" customHeight="1" outlineLevel="1">
      <c r="B321" s="1585" t="s">
        <v>441</v>
      </c>
      <c r="C321" s="1477"/>
      <c r="D321" s="1477"/>
      <c r="E321" s="1477"/>
      <c r="F321" s="1477"/>
      <c r="G321" s="1477"/>
      <c r="H321" s="1477"/>
      <c r="I321" s="1478"/>
      <c r="J321" s="788">
        <f>SUM(J308+J310+J314+J315+J320)</f>
        <v>0</v>
      </c>
      <c r="K321" s="900"/>
      <c r="L321" s="900"/>
    </row>
    <row r="322" spans="2:12" ht="15.75" hidden="1" customHeight="1" outlineLevel="1">
      <c r="B322" s="908"/>
      <c r="C322" s="908"/>
      <c r="D322" s="908"/>
      <c r="E322" s="908"/>
      <c r="F322" s="908"/>
      <c r="G322" s="908"/>
      <c r="H322" s="908"/>
      <c r="I322" s="908"/>
      <c r="J322" s="908"/>
      <c r="K322" s="900"/>
      <c r="L322" s="900"/>
    </row>
    <row r="323" spans="2:12" ht="15.75" hidden="1" customHeight="1" outlineLevel="1">
      <c r="B323" s="1572" t="s">
        <v>577</v>
      </c>
      <c r="C323" s="1477"/>
      <c r="D323" s="1477"/>
      <c r="E323" s="1477"/>
      <c r="F323" s="1477"/>
      <c r="G323" s="1477"/>
      <c r="H323" s="1477"/>
      <c r="I323" s="1478"/>
      <c r="J323" s="863" t="s">
        <v>390</v>
      </c>
      <c r="K323" s="900"/>
      <c r="L323" s="900"/>
    </row>
    <row r="324" spans="2:12" ht="15.75" hidden="1" customHeight="1" outlineLevel="1">
      <c r="B324" s="880" t="s">
        <v>312</v>
      </c>
      <c r="C324" s="1599" t="s">
        <v>494</v>
      </c>
      <c r="D324" s="1477"/>
      <c r="E324" s="1477"/>
      <c r="F324" s="1477"/>
      <c r="G324" s="1477"/>
      <c r="H324" s="1477"/>
      <c r="I324" s="1477"/>
      <c r="J324" s="881">
        <v>0</v>
      </c>
      <c r="K324" s="900"/>
      <c r="L324" s="900"/>
    </row>
    <row r="325" spans="2:12" ht="15.75" hidden="1" customHeight="1" outlineLevel="1">
      <c r="B325" s="880" t="s">
        <v>314</v>
      </c>
      <c r="C325" s="1599" t="s">
        <v>578</v>
      </c>
      <c r="D325" s="1477"/>
      <c r="E325" s="1477"/>
      <c r="F325" s="1477"/>
      <c r="G325" s="1477"/>
      <c r="H325" s="1477"/>
      <c r="I325" s="1477"/>
      <c r="J325" s="881">
        <f>J304</f>
        <v>0</v>
      </c>
      <c r="K325" s="900"/>
      <c r="L325" s="900"/>
    </row>
    <row r="326" spans="2:12" ht="15.75" hidden="1" customHeight="1" outlineLevel="1">
      <c r="B326" s="880" t="s">
        <v>316</v>
      </c>
      <c r="C326" s="1599" t="s">
        <v>496</v>
      </c>
      <c r="D326" s="1477"/>
      <c r="E326" s="1477"/>
      <c r="F326" s="1477"/>
      <c r="G326" s="1477"/>
      <c r="H326" s="1477"/>
      <c r="I326" s="1477"/>
      <c r="J326" s="881">
        <v>0</v>
      </c>
      <c r="K326" s="900"/>
      <c r="L326" s="900"/>
    </row>
    <row r="327" spans="2:12" ht="15.75" hidden="1" customHeight="1" outlineLevel="1">
      <c r="B327" s="880" t="s">
        <v>318</v>
      </c>
      <c r="C327" s="1599" t="s">
        <v>497</v>
      </c>
      <c r="D327" s="1477"/>
      <c r="E327" s="1477"/>
      <c r="F327" s="1477"/>
      <c r="G327" s="1477"/>
      <c r="H327" s="1477"/>
      <c r="I327" s="1477"/>
      <c r="J327" s="881">
        <v>0</v>
      </c>
      <c r="K327" s="900"/>
      <c r="L327" s="900"/>
    </row>
    <row r="328" spans="2:12" ht="15.75" hidden="1" customHeight="1" outlineLevel="1">
      <c r="B328" s="880" t="s">
        <v>360</v>
      </c>
      <c r="C328" s="1599" t="s">
        <v>498</v>
      </c>
      <c r="D328" s="1477"/>
      <c r="E328" s="1477"/>
      <c r="F328" s="1477"/>
      <c r="G328" s="1477"/>
      <c r="H328" s="1477"/>
      <c r="I328" s="1477"/>
      <c r="J328" s="881">
        <v>0</v>
      </c>
      <c r="K328" s="900"/>
      <c r="L328" s="900"/>
    </row>
    <row r="329" spans="2:12" ht="15.75" hidden="1" customHeight="1" outlineLevel="1">
      <c r="B329" s="1600" t="s">
        <v>499</v>
      </c>
      <c r="C329" s="1477"/>
      <c r="D329" s="1477"/>
      <c r="E329" s="1477"/>
      <c r="F329" s="1477"/>
      <c r="G329" s="1477"/>
      <c r="H329" s="1477"/>
      <c r="I329" s="1521"/>
      <c r="J329" s="857">
        <f>SUM(J324:J328)</f>
        <v>0</v>
      </c>
      <c r="K329" s="900"/>
      <c r="L329" s="900"/>
    </row>
    <row r="330" spans="2:12" ht="15.75" hidden="1" customHeight="1" outlineLevel="1">
      <c r="B330" s="882" t="s">
        <v>364</v>
      </c>
      <c r="C330" s="1599" t="s">
        <v>471</v>
      </c>
      <c r="D330" s="1477"/>
      <c r="E330" s="1477"/>
      <c r="F330" s="1477"/>
      <c r="G330" s="1477"/>
      <c r="H330" s="1477"/>
      <c r="I330" s="1477"/>
      <c r="J330" s="881">
        <f>J321</f>
        <v>0</v>
      </c>
      <c r="K330" s="900"/>
      <c r="L330" s="900"/>
    </row>
    <row r="331" spans="2:12" ht="15.75" hidden="1" customHeight="1" outlineLevel="1">
      <c r="B331" s="1600" t="s">
        <v>579</v>
      </c>
      <c r="C331" s="1477"/>
      <c r="D331" s="1477"/>
      <c r="E331" s="1477"/>
      <c r="F331" s="1477"/>
      <c r="G331" s="1477"/>
      <c r="H331" s="1477"/>
      <c r="I331" s="1521"/>
      <c r="J331" s="954">
        <f>ROUND(J325+J321,2)</f>
        <v>0</v>
      </c>
      <c r="K331" s="897" t="s">
        <v>580</v>
      </c>
      <c r="L331" s="897" t="str">
        <f>L295</f>
        <v>3341-10_MONITOR-de-ALUNOS_40h</v>
      </c>
    </row>
    <row r="332" spans="2:12" ht="15.75" hidden="1" customHeight="1" outlineLevel="1">
      <c r="B332" s="908"/>
      <c r="C332" s="908"/>
      <c r="D332" s="908"/>
      <c r="E332" s="908"/>
      <c r="F332" s="908"/>
      <c r="G332" s="908"/>
      <c r="H332" s="908"/>
      <c r="I332" s="908"/>
      <c r="J332" s="908"/>
      <c r="K332" s="900"/>
      <c r="L332" s="900"/>
    </row>
    <row r="333" spans="2:12" ht="15.75" hidden="1" customHeight="1" outlineLevel="1">
      <c r="B333" s="1606" t="s">
        <v>581</v>
      </c>
      <c r="C333" s="1477"/>
      <c r="D333" s="1477"/>
      <c r="E333" s="1477"/>
      <c r="F333" s="1477"/>
      <c r="G333" s="1477"/>
      <c r="H333" s="1477"/>
      <c r="I333" s="1477"/>
      <c r="J333" s="1478"/>
    </row>
    <row r="334" spans="2:12" ht="63.75" hidden="1" customHeight="1" outlineLevel="1">
      <c r="B334" s="1607" t="s">
        <v>503</v>
      </c>
      <c r="C334" s="1575"/>
      <c r="D334" s="1575"/>
      <c r="E334" s="1608"/>
      <c r="F334" s="955" t="s">
        <v>582</v>
      </c>
      <c r="G334" s="956" t="s">
        <v>1115</v>
      </c>
      <c r="H334" s="957" t="s">
        <v>506</v>
      </c>
      <c r="I334" s="1607" t="s">
        <v>507</v>
      </c>
      <c r="J334" s="1608"/>
    </row>
    <row r="335" spans="2:12" ht="26.25" hidden="1" customHeight="1" outlineLevel="1">
      <c r="B335" s="1609" t="str">
        <f>B203</f>
        <v>3341-10_MONITOR-de-ALUNOS_40h</v>
      </c>
      <c r="C335" s="1477"/>
      <c r="D335" s="1477"/>
      <c r="E335" s="1478"/>
      <c r="F335" s="958">
        <f>J331</f>
        <v>0</v>
      </c>
      <c r="G335" s="959">
        <f>G203</f>
        <v>1</v>
      </c>
      <c r="H335" s="960">
        <f>H207</f>
        <v>0</v>
      </c>
      <c r="I335" s="1610">
        <f>F335*G335</f>
        <v>0</v>
      </c>
      <c r="J335" s="1478"/>
    </row>
    <row r="336" spans="2:12" ht="15.75" hidden="1" customHeight="1" outlineLevel="1">
      <c r="B336" s="1562"/>
      <c r="C336" s="1477"/>
      <c r="D336" s="1477"/>
      <c r="E336" s="1477"/>
      <c r="F336" s="1477"/>
      <c r="G336" s="1477"/>
      <c r="H336" s="1477"/>
      <c r="I336" s="1477"/>
      <c r="J336" s="1478"/>
    </row>
    <row r="337" spans="2:10" ht="23.25" hidden="1" customHeight="1" outlineLevel="1">
      <c r="B337" s="1563" t="s">
        <v>584</v>
      </c>
      <c r="C337" s="1477"/>
      <c r="D337" s="1477"/>
      <c r="E337" s="1477"/>
      <c r="F337" s="1477"/>
      <c r="G337" s="1478"/>
      <c r="H337" s="1564">
        <f>I335</f>
        <v>0</v>
      </c>
      <c r="I337" s="1477"/>
      <c r="J337" s="1478"/>
    </row>
    <row r="338" spans="2:10" ht="15.75" hidden="1" customHeight="1" outlineLevel="1">
      <c r="B338" s="1565"/>
      <c r="C338" s="1528"/>
      <c r="D338" s="1528"/>
      <c r="E338" s="1528"/>
      <c r="F338" s="1528"/>
      <c r="G338" s="1528"/>
      <c r="H338" s="1528"/>
      <c r="I338" s="1528"/>
      <c r="J338" s="1566"/>
    </row>
    <row r="339" spans="2:10" ht="15.75" hidden="1" customHeight="1" outlineLevel="1">
      <c r="B339" s="1563" t="s">
        <v>517</v>
      </c>
      <c r="C339" s="1477"/>
      <c r="D339" s="1477"/>
      <c r="E339" s="1477"/>
      <c r="F339" s="1477"/>
      <c r="G339" s="1478"/>
      <c r="H339" s="1567">
        <f>$I$11</f>
        <v>30</v>
      </c>
      <c r="I339" s="1477"/>
      <c r="J339" s="1478"/>
    </row>
    <row r="340" spans="2:10" ht="15.75" hidden="1" customHeight="1" outlineLevel="1">
      <c r="B340" s="1568"/>
      <c r="C340" s="1477"/>
      <c r="D340" s="1477"/>
      <c r="E340" s="1477"/>
      <c r="F340" s="1477"/>
      <c r="G340" s="1477"/>
      <c r="H340" s="1477"/>
      <c r="I340" s="1477"/>
      <c r="J340" s="1478"/>
    </row>
    <row r="341" spans="2:10" ht="15.75" hidden="1" customHeight="1" outlineLevel="1">
      <c r="B341" s="1563" t="s">
        <v>1116</v>
      </c>
      <c r="C341" s="1477"/>
      <c r="D341" s="1477"/>
      <c r="E341" s="1477"/>
      <c r="F341" s="1477"/>
      <c r="G341" s="1478"/>
      <c r="H341" s="1569">
        <f>ROUND(H337*H339,2)</f>
        <v>0</v>
      </c>
      <c r="I341" s="1477"/>
      <c r="J341" s="1478"/>
    </row>
    <row r="342" spans="2:10" ht="15.75" hidden="1" customHeight="1" outlineLevel="1">
      <c r="B342" s="1570"/>
      <c r="C342" s="1477"/>
      <c r="D342" s="1477"/>
      <c r="E342" s="1477"/>
      <c r="F342" s="1477"/>
      <c r="G342" s="1477"/>
      <c r="H342" s="1477"/>
      <c r="I342" s="1477"/>
      <c r="J342" s="1478"/>
    </row>
    <row r="343" spans="2:10" ht="15.75" hidden="1" customHeight="1" outlineLevel="1">
      <c r="B343" s="963"/>
      <c r="C343" s="964"/>
      <c r="D343" s="964"/>
      <c r="E343" s="964"/>
      <c r="F343" s="965"/>
      <c r="G343" s="965"/>
      <c r="H343" s="965"/>
      <c r="I343" s="966"/>
      <c r="J343" s="967"/>
    </row>
    <row r="344" spans="2:10" ht="30.75" hidden="1" customHeight="1" outlineLevel="1">
      <c r="B344" s="1591" t="str">
        <f>B3</f>
        <v>3341-10_MONITOR-de-ALUNOS_40h</v>
      </c>
      <c r="C344" s="1419"/>
      <c r="D344" s="1419"/>
      <c r="E344" s="1592"/>
      <c r="F344" s="968">
        <f>I203</f>
        <v>6057.23</v>
      </c>
      <c r="G344" s="969">
        <f>G203</f>
        <v>1</v>
      </c>
      <c r="H344" s="969">
        <f>H207</f>
        <v>0</v>
      </c>
      <c r="I344" s="970">
        <f>F344*H344</f>
        <v>0</v>
      </c>
      <c r="J344" s="971">
        <f>I344*H339</f>
        <v>0</v>
      </c>
    </row>
    <row r="345" spans="2:10" ht="30.75" hidden="1" customHeight="1" outlineLevel="1">
      <c r="B345" s="1593" t="str">
        <f>B219</f>
        <v>CALCULO DO CUSTO EXCLUSIVO de HORAS EXTRAS</v>
      </c>
      <c r="C345" s="1594"/>
      <c r="D345" s="1594"/>
      <c r="E345" s="1595"/>
      <c r="F345" s="972">
        <f>J295</f>
        <v>0</v>
      </c>
      <c r="G345" s="969">
        <f t="shared" ref="G345:H345" si="21">G344</f>
        <v>1</v>
      </c>
      <c r="H345" s="969">
        <f t="shared" si="21"/>
        <v>0</v>
      </c>
      <c r="I345" s="970">
        <f>IF(H335&gt;=1, F345*1, 0)</f>
        <v>0</v>
      </c>
      <c r="J345" s="971">
        <f>I345*H339</f>
        <v>0</v>
      </c>
    </row>
    <row r="346" spans="2:10" ht="30.75" hidden="1" customHeight="1" outlineLevel="1">
      <c r="B346" s="1596" t="str">
        <f>B297</f>
        <v xml:space="preserve">CALCULO DO CUSTO EXCLUSIVO das DIÁRIAS </v>
      </c>
      <c r="C346" s="1597"/>
      <c r="D346" s="1597"/>
      <c r="E346" s="1598"/>
      <c r="F346" s="973">
        <f>J331</f>
        <v>0</v>
      </c>
      <c r="G346" s="974">
        <f t="shared" ref="G346:H346" si="22">G345</f>
        <v>1</v>
      </c>
      <c r="H346" s="974">
        <f t="shared" si="22"/>
        <v>0</v>
      </c>
      <c r="I346" s="975">
        <f>IF(H335&gt;=1, F346*1, 0)</f>
        <v>0</v>
      </c>
      <c r="J346" s="976">
        <f>I346*H339</f>
        <v>0</v>
      </c>
    </row>
    <row r="347" spans="2:10" ht="30.75" hidden="1" customHeight="1" outlineLevel="1">
      <c r="B347" s="977" t="s">
        <v>586</v>
      </c>
      <c r="C347" s="978"/>
      <c r="D347" s="979" t="str">
        <f>G297</f>
        <v>3341-10_MONITOR-de-ALUNOS_40h</v>
      </c>
      <c r="E347" s="978"/>
      <c r="F347" s="978"/>
      <c r="G347" s="978"/>
      <c r="H347" s="978"/>
      <c r="I347" s="980"/>
      <c r="J347" s="981">
        <f>J344+J345+J346</f>
        <v>0</v>
      </c>
    </row>
    <row r="348" spans="2:10" ht="15.75" customHeight="1"/>
    <row r="349" spans="2:10" ht="15.75" customHeight="1"/>
    <row r="350" spans="2:10" ht="15.75" customHeight="1"/>
    <row r="351" spans="2:10" ht="15.75" customHeight="1"/>
    <row r="352" spans="2:10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5">
    <mergeCell ref="B346:E346"/>
    <mergeCell ref="B338:J338"/>
    <mergeCell ref="B339:G339"/>
    <mergeCell ref="H339:J339"/>
    <mergeCell ref="B340:J340"/>
    <mergeCell ref="B341:G341"/>
    <mergeCell ref="H341:J341"/>
    <mergeCell ref="B342:J342"/>
    <mergeCell ref="B334:E334"/>
    <mergeCell ref="I334:J334"/>
    <mergeCell ref="B335:E335"/>
    <mergeCell ref="I335:J335"/>
    <mergeCell ref="B336:J336"/>
    <mergeCell ref="B337:G337"/>
    <mergeCell ref="H337:J337"/>
    <mergeCell ref="B344:E344"/>
    <mergeCell ref="B345:E345"/>
    <mergeCell ref="C324:I324"/>
    <mergeCell ref="C325:I325"/>
    <mergeCell ref="C326:I326"/>
    <mergeCell ref="C327:I327"/>
    <mergeCell ref="C328:I328"/>
    <mergeCell ref="B329:I329"/>
    <mergeCell ref="C330:I330"/>
    <mergeCell ref="B331:I331"/>
    <mergeCell ref="B333:J333"/>
    <mergeCell ref="C314:H314"/>
    <mergeCell ref="C315:H315"/>
    <mergeCell ref="C316:H316"/>
    <mergeCell ref="C317:H317"/>
    <mergeCell ref="C318:H318"/>
    <mergeCell ref="C319:H319"/>
    <mergeCell ref="C320:H320"/>
    <mergeCell ref="B321:I321"/>
    <mergeCell ref="B323:I323"/>
    <mergeCell ref="C304:I304"/>
    <mergeCell ref="C306:H306"/>
    <mergeCell ref="B307:H307"/>
    <mergeCell ref="C308:H308"/>
    <mergeCell ref="B309:H309"/>
    <mergeCell ref="C310:H310"/>
    <mergeCell ref="B311:H311"/>
    <mergeCell ref="C312:H312"/>
    <mergeCell ref="C313:H313"/>
    <mergeCell ref="C226:I226"/>
    <mergeCell ref="B227:I227"/>
    <mergeCell ref="B229:J229"/>
    <mergeCell ref="B230:J230"/>
    <mergeCell ref="C231:I231"/>
    <mergeCell ref="C232:H232"/>
    <mergeCell ref="C233:H233"/>
    <mergeCell ref="B234:I234"/>
    <mergeCell ref="B302:B303"/>
    <mergeCell ref="B215:G215"/>
    <mergeCell ref="H215:J215"/>
    <mergeCell ref="B216:J216"/>
    <mergeCell ref="B220:J220"/>
    <mergeCell ref="C221:H221"/>
    <mergeCell ref="C222:E222"/>
    <mergeCell ref="C223:E223"/>
    <mergeCell ref="C224:E224"/>
    <mergeCell ref="C225:E225"/>
    <mergeCell ref="B208:J208"/>
    <mergeCell ref="B209:J209"/>
    <mergeCell ref="B210:J210"/>
    <mergeCell ref="B211:G211"/>
    <mergeCell ref="H211:J211"/>
    <mergeCell ref="B212:J212"/>
    <mergeCell ref="B213:G213"/>
    <mergeCell ref="H213:J213"/>
    <mergeCell ref="B214:J214"/>
    <mergeCell ref="F204:G204"/>
    <mergeCell ref="I204:J204"/>
    <mergeCell ref="B204:E204"/>
    <mergeCell ref="B205:E205"/>
    <mergeCell ref="F205:G205"/>
    <mergeCell ref="I205:J205"/>
    <mergeCell ref="B206:E206"/>
    <mergeCell ref="F206:G206"/>
    <mergeCell ref="B207:G207"/>
    <mergeCell ref="I206:J206"/>
    <mergeCell ref="I207:J207"/>
    <mergeCell ref="I200:J200"/>
    <mergeCell ref="B201:E201"/>
    <mergeCell ref="F201:G201"/>
    <mergeCell ref="I201:J201"/>
    <mergeCell ref="B202:E202"/>
    <mergeCell ref="F202:G202"/>
    <mergeCell ref="I202:J202"/>
    <mergeCell ref="B203:E203"/>
    <mergeCell ref="I203:J203"/>
    <mergeCell ref="C300:I300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62:H162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C288:I288"/>
    <mergeCell ref="C289:I289"/>
    <mergeCell ref="C290:I290"/>
    <mergeCell ref="C291:I291"/>
    <mergeCell ref="C292:I292"/>
    <mergeCell ref="B293:I293"/>
    <mergeCell ref="C294:I294"/>
    <mergeCell ref="B295:I295"/>
    <mergeCell ref="B299:J299"/>
    <mergeCell ref="C278:H278"/>
    <mergeCell ref="C279:H279"/>
    <mergeCell ref="C280:H280"/>
    <mergeCell ref="C281:H281"/>
    <mergeCell ref="C282:H282"/>
    <mergeCell ref="C283:H283"/>
    <mergeCell ref="C284:H284"/>
    <mergeCell ref="B285:I285"/>
    <mergeCell ref="B287:I287"/>
    <mergeCell ref="B269:J269"/>
    <mergeCell ref="C270:H270"/>
    <mergeCell ref="B271:H271"/>
    <mergeCell ref="C272:H272"/>
    <mergeCell ref="B273:H273"/>
    <mergeCell ref="C274:H274"/>
    <mergeCell ref="B275:H275"/>
    <mergeCell ref="C276:H276"/>
    <mergeCell ref="C277:H277"/>
    <mergeCell ref="B259:J259"/>
    <mergeCell ref="C260:I260"/>
    <mergeCell ref="C261:G261"/>
    <mergeCell ref="C262:I262"/>
    <mergeCell ref="C263:I263"/>
    <mergeCell ref="C264:I264"/>
    <mergeCell ref="C265:I265"/>
    <mergeCell ref="C266:I266"/>
    <mergeCell ref="B267:I267"/>
    <mergeCell ref="B247:J247"/>
    <mergeCell ref="C248:I248"/>
    <mergeCell ref="C249:I249"/>
    <mergeCell ref="C250:I250"/>
    <mergeCell ref="C251:H251"/>
    <mergeCell ref="C252:I252"/>
    <mergeCell ref="C253:H253"/>
    <mergeCell ref="B254:I254"/>
    <mergeCell ref="B256:J256"/>
    <mergeCell ref="C237:H237"/>
    <mergeCell ref="C238:H238"/>
    <mergeCell ref="C239:D239"/>
    <mergeCell ref="C240:H240"/>
    <mergeCell ref="C241:H241"/>
    <mergeCell ref="C242:H242"/>
    <mergeCell ref="C243:H243"/>
    <mergeCell ref="C244:H244"/>
    <mergeCell ref="B245:H245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236:H236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C172:H172"/>
    <mergeCell ref="C173:H173"/>
    <mergeCell ref="C174:H174"/>
    <mergeCell ref="C175:H175"/>
    <mergeCell ref="C176:H176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G95"/>
    <mergeCell ref="C96:G96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47:I147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C120:I120"/>
    <mergeCell ref="C121:H121"/>
    <mergeCell ref="C122:I122"/>
    <mergeCell ref="C123:H123"/>
    <mergeCell ref="B124:I124"/>
    <mergeCell ref="B125:J125"/>
    <mergeCell ref="B126:J126"/>
    <mergeCell ref="B127:J127"/>
    <mergeCell ref="B128:J128"/>
    <mergeCell ref="C69:I69"/>
    <mergeCell ref="C70:H70"/>
    <mergeCell ref="C71:H71"/>
    <mergeCell ref="B72:I72"/>
    <mergeCell ref="B73:J73"/>
    <mergeCell ref="B74:J74"/>
    <mergeCell ref="B75:J75"/>
    <mergeCell ref="B76:J76"/>
    <mergeCell ref="C119:I119"/>
    <mergeCell ref="C97:I97"/>
    <mergeCell ref="C98:H98"/>
    <mergeCell ref="C99:G99"/>
    <mergeCell ref="C100:G100"/>
    <mergeCell ref="C101:I101"/>
    <mergeCell ref="C102:I102"/>
    <mergeCell ref="C103:I103"/>
    <mergeCell ref="C104:I104"/>
    <mergeCell ref="C105:E105"/>
    <mergeCell ref="F105:H105"/>
    <mergeCell ref="C106:I106"/>
    <mergeCell ref="B107:J107"/>
    <mergeCell ref="B108:J108"/>
    <mergeCell ref="B109:J109"/>
    <mergeCell ref="B110:J110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</mergeCells>
  <conditionalFormatting sqref="I48:I50">
    <cfRule type="cellIs" dxfId="66" priority="3" operator="equal">
      <formula>0</formula>
    </cfRule>
  </conditionalFormatting>
  <conditionalFormatting sqref="I121">
    <cfRule type="cellIs" dxfId="65" priority="2" operator="notEqual">
      <formula>"OK"</formula>
    </cfRule>
  </conditionalFormatting>
  <conditionalFormatting sqref="J133">
    <cfRule type="cellIs" dxfId="64" priority="5" operator="equal">
      <formula>0</formula>
    </cfRule>
  </conditionalFormatting>
  <conditionalFormatting sqref="J261">
    <cfRule type="cellIs" dxfId="63" priority="1" operator="equal">
      <formula>0</formula>
    </cfRule>
  </conditionalFormatting>
  <pageMargins left="0.511811024" right="0.511811024" top="0.78740157499999996" bottom="0.78740157499999996" header="0" footer="0"/>
  <pageSetup scale="52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2:Z21"/>
  <sheetViews>
    <sheetView workbookViewId="0"/>
  </sheetViews>
  <sheetFormatPr defaultColWidth="14.453125" defaultRowHeight="15" customHeight="1"/>
  <cols>
    <col min="2" max="2" width="48.26953125" customWidth="1"/>
    <col min="3" max="4" width="34.26953125" customWidth="1"/>
    <col min="5" max="5" width="35" customWidth="1"/>
    <col min="6" max="6" width="27" customWidth="1"/>
    <col min="7" max="7" width="4.7265625" customWidth="1"/>
    <col min="10" max="10" width="17" customWidth="1"/>
  </cols>
  <sheetData>
    <row r="2" spans="1:26" ht="63.75" customHeight="1">
      <c r="B2" s="1090" t="s">
        <v>1117</v>
      </c>
      <c r="C2" s="1091"/>
      <c r="D2" s="1091"/>
      <c r="E2" s="1738"/>
      <c r="F2" s="1092"/>
    </row>
    <row r="3" spans="1:26" ht="29.25" customHeight="1">
      <c r="A3" s="1093"/>
      <c r="B3" s="1094" t="s">
        <v>115</v>
      </c>
      <c r="C3" s="1094" t="s">
        <v>124</v>
      </c>
      <c r="D3" s="1094" t="s">
        <v>1118</v>
      </c>
      <c r="E3" s="1419"/>
      <c r="F3" s="1095"/>
      <c r="G3" s="1093"/>
      <c r="H3" s="1093"/>
      <c r="I3" s="1093"/>
      <c r="K3" s="1093"/>
      <c r="L3" s="1093"/>
      <c r="M3" s="1093"/>
      <c r="N3" s="1093"/>
      <c r="O3" s="1093"/>
      <c r="P3" s="1093"/>
      <c r="Q3" s="1093"/>
      <c r="R3" s="1093"/>
      <c r="S3" s="1093"/>
      <c r="T3" s="1093"/>
      <c r="U3" s="1093"/>
      <c r="V3" s="1093"/>
      <c r="W3" s="1093"/>
      <c r="X3" s="1093"/>
      <c r="Y3" s="1093"/>
      <c r="Z3" s="1093"/>
    </row>
    <row r="4" spans="1:26" ht="22">
      <c r="B4" s="1092" t="s">
        <v>58</v>
      </c>
      <c r="C4" s="1096">
        <v>0</v>
      </c>
      <c r="D4" s="1096">
        <v>0</v>
      </c>
      <c r="E4" s="1097"/>
      <c r="F4" s="1098"/>
      <c r="G4" s="684"/>
      <c r="H4" s="684"/>
      <c r="I4" s="338"/>
    </row>
    <row r="5" spans="1:26" ht="22">
      <c r="B5" s="1092" t="s">
        <v>67</v>
      </c>
      <c r="C5" s="1096">
        <v>0</v>
      </c>
      <c r="D5" s="1096">
        <v>0</v>
      </c>
      <c r="E5" s="1097"/>
      <c r="F5" s="1098"/>
      <c r="G5" s="684"/>
      <c r="H5" s="1099" t="s">
        <v>58</v>
      </c>
      <c r="I5" s="1100">
        <v>0</v>
      </c>
      <c r="J5" s="1100">
        <v>2288.5586358750002</v>
      </c>
    </row>
    <row r="6" spans="1:26" ht="22">
      <c r="B6" s="1092" t="s">
        <v>69</v>
      </c>
      <c r="C6" s="1096">
        <v>0</v>
      </c>
      <c r="D6" s="1096">
        <v>0</v>
      </c>
      <c r="E6" s="1097"/>
      <c r="F6" s="1098"/>
      <c r="G6" s="684"/>
      <c r="H6" s="1099" t="s">
        <v>67</v>
      </c>
      <c r="I6" s="1100">
        <v>0</v>
      </c>
      <c r="J6" s="1100">
        <v>0</v>
      </c>
    </row>
    <row r="7" spans="1:26" ht="22">
      <c r="B7" s="1092" t="s">
        <v>72</v>
      </c>
      <c r="C7" s="1096">
        <v>0</v>
      </c>
      <c r="D7" s="1096">
        <v>0</v>
      </c>
      <c r="E7" s="1097"/>
      <c r="F7" s="1098"/>
      <c r="G7" s="684"/>
      <c r="H7" s="1099" t="s">
        <v>69</v>
      </c>
      <c r="I7" s="1100">
        <v>0</v>
      </c>
      <c r="J7" s="1100">
        <v>0</v>
      </c>
    </row>
    <row r="8" spans="1:26" ht="22">
      <c r="B8" s="1092" t="s">
        <v>74</v>
      </c>
      <c r="C8" s="1096">
        <v>0</v>
      </c>
      <c r="D8" s="1096">
        <v>0</v>
      </c>
      <c r="E8" s="1097"/>
      <c r="F8" s="1098"/>
      <c r="G8" s="684"/>
      <c r="H8" s="1099" t="s">
        <v>72</v>
      </c>
      <c r="I8" s="1100">
        <v>23355</v>
      </c>
      <c r="J8" s="1100">
        <v>0</v>
      </c>
    </row>
    <row r="9" spans="1:26" ht="22">
      <c r="B9" s="1092" t="s">
        <v>76</v>
      </c>
      <c r="C9" s="1096">
        <v>0</v>
      </c>
      <c r="D9" s="1096">
        <v>0</v>
      </c>
      <c r="E9" s="1097"/>
      <c r="F9" s="1098"/>
      <c r="G9" s="684"/>
      <c r="H9" s="1099" t="s">
        <v>74</v>
      </c>
      <c r="I9" s="1100">
        <v>26384.400000000001</v>
      </c>
      <c r="J9" s="1100">
        <v>0</v>
      </c>
    </row>
    <row r="10" spans="1:26" ht="22">
      <c r="B10" s="1092" t="s">
        <v>78</v>
      </c>
      <c r="C10" s="1096">
        <v>0</v>
      </c>
      <c r="D10" s="1096">
        <v>0</v>
      </c>
      <c r="E10" s="1097"/>
      <c r="F10" s="1098"/>
      <c r="G10" s="684"/>
      <c r="H10" s="1099" t="s">
        <v>76</v>
      </c>
      <c r="I10" s="1100">
        <v>9671.4</v>
      </c>
      <c r="J10" s="1100">
        <v>0</v>
      </c>
    </row>
    <row r="11" spans="1:26" ht="22">
      <c r="B11" s="1092" t="s">
        <v>81</v>
      </c>
      <c r="C11" s="1096">
        <v>0</v>
      </c>
      <c r="D11" s="1096">
        <v>0</v>
      </c>
      <c r="E11" s="1097"/>
      <c r="F11" s="1098"/>
      <c r="G11" s="684"/>
      <c r="H11" s="1099" t="s">
        <v>78</v>
      </c>
      <c r="I11" s="1100">
        <v>0</v>
      </c>
      <c r="J11" s="1100">
        <v>0</v>
      </c>
    </row>
    <row r="12" spans="1:26" ht="22">
      <c r="B12" s="1092" t="s">
        <v>82</v>
      </c>
      <c r="C12" s="1096">
        <v>0</v>
      </c>
      <c r="D12" s="1096">
        <v>0</v>
      </c>
      <c r="E12" s="1097"/>
      <c r="F12" s="1098"/>
      <c r="G12" s="684"/>
      <c r="H12" s="1099" t="s">
        <v>81</v>
      </c>
      <c r="I12" s="1100">
        <v>0</v>
      </c>
      <c r="J12" s="1100">
        <v>0</v>
      </c>
    </row>
    <row r="13" spans="1:26" ht="22">
      <c r="B13" s="1092" t="s">
        <v>84</v>
      </c>
      <c r="C13" s="1096">
        <v>0</v>
      </c>
      <c r="D13" s="1096">
        <v>0</v>
      </c>
      <c r="E13" s="1097"/>
      <c r="F13" s="1098"/>
      <c r="G13" s="684"/>
      <c r="H13" s="1099" t="s">
        <v>82</v>
      </c>
      <c r="I13" s="1100">
        <v>5434.2</v>
      </c>
      <c r="J13" s="1100">
        <v>0</v>
      </c>
    </row>
    <row r="14" spans="1:26" ht="22">
      <c r="B14" s="1092" t="s">
        <v>86</v>
      </c>
      <c r="C14" s="1096">
        <v>0</v>
      </c>
      <c r="D14" s="1096">
        <v>0</v>
      </c>
      <c r="E14" s="1097"/>
      <c r="F14" s="1098"/>
      <c r="G14" s="684"/>
      <c r="H14" s="1099" t="s">
        <v>84</v>
      </c>
      <c r="I14" s="1100">
        <v>73903.8</v>
      </c>
      <c r="J14" s="1100">
        <v>0</v>
      </c>
    </row>
    <row r="15" spans="1:26" ht="22">
      <c r="B15" s="1092" t="s">
        <v>88</v>
      </c>
      <c r="C15" s="1096">
        <v>0</v>
      </c>
      <c r="D15" s="1096">
        <v>0</v>
      </c>
      <c r="E15" s="1097"/>
      <c r="F15" s="1098"/>
      <c r="G15" s="684"/>
      <c r="H15" s="1099" t="s">
        <v>86</v>
      </c>
      <c r="I15" s="1100">
        <v>0</v>
      </c>
      <c r="J15" s="1100">
        <v>0</v>
      </c>
    </row>
    <row r="16" spans="1:26" ht="22">
      <c r="B16" s="1092" t="s">
        <v>89</v>
      </c>
      <c r="C16" s="1096">
        <v>0</v>
      </c>
      <c r="D16" s="1096">
        <v>0</v>
      </c>
      <c r="E16" s="1097"/>
      <c r="F16" s="1098"/>
      <c r="G16" s="684"/>
      <c r="H16" s="1099" t="s">
        <v>88</v>
      </c>
      <c r="I16" s="1100">
        <v>32604.299999999996</v>
      </c>
      <c r="J16" s="1100">
        <v>50238.069276437498</v>
      </c>
    </row>
    <row r="17" spans="2:10" ht="22">
      <c r="B17" s="1092" t="s">
        <v>91</v>
      </c>
      <c r="C17" s="1096">
        <v>0</v>
      </c>
      <c r="D17" s="1096">
        <v>0</v>
      </c>
      <c r="E17" s="1097"/>
      <c r="F17" s="1098"/>
      <c r="G17" s="684"/>
      <c r="H17" s="1099" t="s">
        <v>89</v>
      </c>
      <c r="I17" s="1100">
        <v>0</v>
      </c>
      <c r="J17" s="1100">
        <v>0</v>
      </c>
    </row>
    <row r="18" spans="2:10" ht="22">
      <c r="B18" s="1092" t="s">
        <v>92</v>
      </c>
      <c r="C18" s="1096">
        <v>0</v>
      </c>
      <c r="D18" s="1096">
        <v>0</v>
      </c>
      <c r="E18" s="1097"/>
      <c r="F18" s="1098"/>
      <c r="G18" s="684"/>
      <c r="H18" s="1099" t="s">
        <v>91</v>
      </c>
      <c r="I18" s="1100">
        <v>26690.399999999998</v>
      </c>
      <c r="J18" s="1100">
        <v>58388.189673784378</v>
      </c>
    </row>
    <row r="19" spans="2:10" ht="22">
      <c r="B19" s="1092"/>
      <c r="C19" s="1101">
        <f t="shared" ref="C19:E19" si="0">SUM(C4:C18)</f>
        <v>0</v>
      </c>
      <c r="D19" s="1101">
        <f t="shared" si="0"/>
        <v>0</v>
      </c>
      <c r="E19" s="1102">
        <f t="shared" si="0"/>
        <v>0</v>
      </c>
      <c r="F19" s="1098"/>
      <c r="G19" s="684"/>
      <c r="H19" s="1099" t="s">
        <v>92</v>
      </c>
      <c r="I19" s="1100">
        <v>23910.600000000002</v>
      </c>
      <c r="J19" s="1100">
        <v>52905.537372566883</v>
      </c>
    </row>
    <row r="20" spans="2:10" ht="26">
      <c r="B20" s="1103" t="s">
        <v>1119</v>
      </c>
      <c r="C20" s="1104"/>
      <c r="D20" s="1104"/>
      <c r="E20" s="1104">
        <f>E19+D19+C19</f>
        <v>0</v>
      </c>
      <c r="F20" s="1096"/>
      <c r="G20" s="684"/>
    </row>
    <row r="21" spans="2:10" ht="14.5">
      <c r="C21" s="684"/>
      <c r="D21" s="684"/>
      <c r="E21" s="684"/>
      <c r="F21" s="684"/>
      <c r="G21" s="684"/>
    </row>
  </sheetData>
  <mergeCells count="1">
    <mergeCell ref="E2:E3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  <pageSetUpPr fitToPage="1"/>
  </sheetPr>
  <dimension ref="A1:AA1194"/>
  <sheetViews>
    <sheetView workbookViewId="0">
      <pane ySplit="6" topLeftCell="A7" activePane="bottomLeft" state="frozen"/>
      <selection pane="bottomLeft" activeCell="B8" sqref="B8"/>
    </sheetView>
  </sheetViews>
  <sheetFormatPr defaultColWidth="14.453125" defaultRowHeight="15" customHeight="1" outlineLevelRow="1"/>
  <cols>
    <col min="1" max="1" width="5" customWidth="1"/>
    <col min="2" max="2" width="50.81640625" customWidth="1"/>
    <col min="3" max="3" width="54.26953125" customWidth="1"/>
    <col min="4" max="5" width="26.26953125" customWidth="1"/>
    <col min="6" max="6" width="28.7265625" customWidth="1"/>
    <col min="7" max="7" width="26.26953125" customWidth="1"/>
    <col min="8" max="8" width="28.453125" customWidth="1"/>
    <col min="9" max="9" width="29.26953125" customWidth="1"/>
    <col min="10" max="10" width="23.7265625" customWidth="1"/>
    <col min="11" max="11" width="25.453125" customWidth="1"/>
    <col min="12" max="12" width="22.54296875" customWidth="1"/>
    <col min="13" max="13" width="24.81640625" customWidth="1"/>
    <col min="14" max="14" width="28.08984375" customWidth="1"/>
    <col min="15" max="15" width="30.08984375" customWidth="1"/>
    <col min="16" max="16" width="29.81640625" customWidth="1"/>
    <col min="17" max="17" width="30.81640625" customWidth="1"/>
    <col min="18" max="18" width="25.26953125" customWidth="1"/>
  </cols>
  <sheetData>
    <row r="1" spans="1:27" ht="24" customHeight="1">
      <c r="A1" s="1105" t="b">
        <v>1</v>
      </c>
      <c r="B1" s="1106" t="s">
        <v>1120</v>
      </c>
      <c r="C1" s="1106" t="s">
        <v>1121</v>
      </c>
      <c r="D1" s="1106" t="s">
        <v>1122</v>
      </c>
      <c r="E1" s="1107" t="s">
        <v>1123</v>
      </c>
      <c r="F1" s="1107" t="s">
        <v>1124</v>
      </c>
      <c r="G1" s="1108" t="s">
        <v>1125</v>
      </c>
      <c r="H1" s="1109" t="s">
        <v>1126</v>
      </c>
      <c r="I1" s="1110" t="s">
        <v>1127</v>
      </c>
      <c r="J1" s="1111" t="s">
        <v>1128</v>
      </c>
      <c r="K1" s="1112" t="s">
        <v>1129</v>
      </c>
      <c r="L1" s="1113"/>
      <c r="M1" s="1113"/>
      <c r="N1" s="1114"/>
      <c r="O1" s="1115"/>
      <c r="P1" s="1113"/>
      <c r="Q1" s="1116"/>
      <c r="R1" s="1117"/>
      <c r="S1" s="1117"/>
      <c r="T1" s="1117"/>
      <c r="U1" s="1117"/>
      <c r="V1" s="1117"/>
      <c r="W1" s="1117"/>
      <c r="X1" s="1117"/>
      <c r="Y1" s="1117"/>
      <c r="Z1" s="1117"/>
      <c r="AA1" s="1117"/>
    </row>
    <row r="2" spans="1:27" ht="43.5" customHeight="1">
      <c r="A2" s="2"/>
      <c r="B2" s="1118" t="s">
        <v>1130</v>
      </c>
      <c r="C2" s="1119" t="str">
        <f>'CAMPUS.CONTRATANTE'!G5</f>
        <v xml:space="preserve">S E R V I Ç O S     =    CUIDADOR - INSTRUTOR - PSICOPEDAGOGO - MONITOR </v>
      </c>
      <c r="D2" s="1120"/>
      <c r="E2" s="1121"/>
      <c r="F2" s="1122"/>
      <c r="G2" s="1123"/>
      <c r="H2" s="1124"/>
      <c r="I2" s="1125"/>
      <c r="J2" s="1126"/>
      <c r="K2" s="687"/>
      <c r="N2" s="685"/>
      <c r="O2" s="687"/>
      <c r="Q2" s="1126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54" customHeight="1">
      <c r="A3" s="2"/>
      <c r="B3" s="1127" t="s">
        <v>1131</v>
      </c>
      <c r="C3" s="1128" t="s">
        <v>1132</v>
      </c>
      <c r="D3" s="1129"/>
      <c r="G3" s="684"/>
      <c r="N3" s="685"/>
      <c r="O3" s="687"/>
      <c r="Q3" s="1126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6.5" customHeight="1">
      <c r="A4" s="2"/>
      <c r="E4" s="338"/>
      <c r="F4" s="338"/>
      <c r="G4" s="1130"/>
      <c r="H4" s="1131"/>
      <c r="I4" s="687"/>
      <c r="J4" s="1126"/>
      <c r="K4" s="687"/>
      <c r="N4" s="685"/>
      <c r="O4" s="687"/>
      <c r="Q4" s="1126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6.75" customHeight="1">
      <c r="A5" s="1132" t="s">
        <v>1133</v>
      </c>
      <c r="B5" s="1739"/>
      <c r="C5" s="1575"/>
      <c r="D5" s="1575"/>
      <c r="E5" s="1575"/>
      <c r="F5" s="1133"/>
      <c r="G5" s="1134"/>
      <c r="H5" s="1135"/>
      <c r="I5" s="1136"/>
      <c r="J5" s="1126"/>
      <c r="K5" s="687"/>
      <c r="N5" s="685"/>
      <c r="O5" s="687"/>
      <c r="Q5" s="1126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00">
      <c r="A6" s="1132" t="s">
        <v>1133</v>
      </c>
      <c r="B6" s="1137" t="s">
        <v>115</v>
      </c>
      <c r="C6" s="1138" t="s">
        <v>265</v>
      </c>
      <c r="D6" s="1139" t="s">
        <v>266</v>
      </c>
      <c r="E6" s="1139" t="s">
        <v>1134</v>
      </c>
      <c r="F6" s="1140" t="s">
        <v>1135</v>
      </c>
      <c r="G6" s="1141" t="s">
        <v>1136</v>
      </c>
      <c r="H6" s="1142" t="s">
        <v>1137</v>
      </c>
      <c r="I6" s="1143" t="s">
        <v>271</v>
      </c>
      <c r="J6" s="1144" t="s">
        <v>272</v>
      </c>
      <c r="K6" s="1143" t="s">
        <v>273</v>
      </c>
      <c r="L6" s="1145" t="s">
        <v>274</v>
      </c>
      <c r="M6" s="1146" t="s">
        <v>1138</v>
      </c>
      <c r="N6" s="1147" t="s">
        <v>276</v>
      </c>
      <c r="O6" s="1143" t="s">
        <v>277</v>
      </c>
      <c r="P6" s="1148" t="s">
        <v>1139</v>
      </c>
      <c r="Q6" s="1143" t="s">
        <v>1140</v>
      </c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3.25" hidden="1" customHeight="1">
      <c r="A7" s="1132" t="s">
        <v>325</v>
      </c>
      <c r="B7" s="1149" t="str">
        <f>'CAMPUS.CONTRATANTE'!D10</f>
        <v>ALEGRETE__AL</v>
      </c>
      <c r="C7" s="1150" t="s">
        <v>3</v>
      </c>
      <c r="D7" s="1151">
        <v>200</v>
      </c>
      <c r="E7" s="1152"/>
      <c r="F7" s="1153">
        <v>1</v>
      </c>
      <c r="G7" s="1154">
        <v>7077.15</v>
      </c>
      <c r="H7" s="1155">
        <f>ROUND(G7*F7,2)</f>
        <v>7077.15</v>
      </c>
      <c r="I7" s="659"/>
      <c r="J7" s="1156">
        <f t="shared" ref="J7:J13" si="0">H7*E7</f>
        <v>0</v>
      </c>
      <c r="K7" s="659"/>
      <c r="L7" s="1157">
        <f>'1-ABA-DE-CARREGAMENTO'!D94</f>
        <v>30</v>
      </c>
      <c r="M7" s="1158">
        <f t="shared" ref="M7:M27" si="1">L7*E7</f>
        <v>0</v>
      </c>
      <c r="N7" s="1159">
        <f t="shared" ref="N7:N27" si="2">J7*12</f>
        <v>0</v>
      </c>
      <c r="O7" s="659"/>
      <c r="P7" s="1160">
        <f t="shared" ref="P7:P27" si="3">J7*L7</f>
        <v>0</v>
      </c>
      <c r="Q7" s="1161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3" hidden="1" customHeight="1">
      <c r="A8" s="1132" t="s">
        <v>1133</v>
      </c>
      <c r="B8" s="1149" t="str">
        <f t="shared" ref="B8:B9" si="4">B7</f>
        <v>ALEGRETE__AL</v>
      </c>
      <c r="C8" s="1162" t="s">
        <v>1141</v>
      </c>
      <c r="D8" s="1163">
        <v>200</v>
      </c>
      <c r="E8" s="1152"/>
      <c r="F8" s="1164">
        <v>1</v>
      </c>
      <c r="G8" s="1154">
        <v>0</v>
      </c>
      <c r="H8" s="1165">
        <f>G8*F8</f>
        <v>0</v>
      </c>
      <c r="I8" s="647"/>
      <c r="J8" s="1156">
        <f t="shared" si="0"/>
        <v>0</v>
      </c>
      <c r="K8" s="647"/>
      <c r="L8" s="1157">
        <f>'1-ABA-DE-CARREGAMENTO'!D94</f>
        <v>30</v>
      </c>
      <c r="M8" s="1158">
        <f t="shared" si="1"/>
        <v>0</v>
      </c>
      <c r="N8" s="1159">
        <f t="shared" si="2"/>
        <v>0</v>
      </c>
      <c r="O8" s="647"/>
      <c r="P8" s="1160">
        <f t="shared" si="3"/>
        <v>0</v>
      </c>
      <c r="Q8" s="1166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3" hidden="1" customHeight="1">
      <c r="A9" s="1132" t="s">
        <v>1133</v>
      </c>
      <c r="B9" s="1167" t="str">
        <f t="shared" si="4"/>
        <v>ALEGRETE__AL</v>
      </c>
      <c r="C9" s="1168" t="s">
        <v>1142</v>
      </c>
      <c r="D9" s="1169">
        <v>200</v>
      </c>
      <c r="E9" s="661"/>
      <c r="F9" s="1170">
        <v>1</v>
      </c>
      <c r="G9" s="1171">
        <v>0</v>
      </c>
      <c r="H9" s="1172">
        <f t="shared" ref="H9:H10" si="5">ROUND(G9*F9,2)</f>
        <v>0</v>
      </c>
      <c r="I9" s="1173">
        <f>SUMIF(E7:E9, "&gt;="&amp;1, H7:H9)</f>
        <v>0</v>
      </c>
      <c r="J9" s="1174">
        <f t="shared" si="0"/>
        <v>0</v>
      </c>
      <c r="K9" s="1173">
        <f>J7+J8+J9</f>
        <v>0</v>
      </c>
      <c r="L9" s="1175">
        <f>'1-ABA-DE-CARREGAMENTO'!D94</f>
        <v>30</v>
      </c>
      <c r="M9" s="1176">
        <f t="shared" si="1"/>
        <v>0</v>
      </c>
      <c r="N9" s="1177">
        <f t="shared" si="2"/>
        <v>0</v>
      </c>
      <c r="O9" s="1173">
        <f>IF(J7&gt;0, (N7+N8+N9)*1, 0)</f>
        <v>0</v>
      </c>
      <c r="P9" s="1178">
        <f t="shared" si="3"/>
        <v>0</v>
      </c>
      <c r="Q9" s="1179">
        <f>IF(M7&gt;0, (P7+P8+P9)*1, 0)</f>
        <v>0</v>
      </c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3.25" hidden="1" customHeight="1">
      <c r="A10" s="1132" t="s">
        <v>1133</v>
      </c>
      <c r="B10" s="1149" t="str">
        <f>B7</f>
        <v>ALEGRETE__AL</v>
      </c>
      <c r="C10" s="1180" t="s">
        <v>4</v>
      </c>
      <c r="D10" s="1181">
        <v>100</v>
      </c>
      <c r="E10" s="1182"/>
      <c r="F10" s="1164">
        <v>1</v>
      </c>
      <c r="G10" s="1183">
        <v>4539.3100000000004</v>
      </c>
      <c r="H10" s="1184">
        <f t="shared" si="5"/>
        <v>4539.3100000000004</v>
      </c>
      <c r="I10" s="659"/>
      <c r="J10" s="1156">
        <f t="shared" si="0"/>
        <v>0</v>
      </c>
      <c r="K10" s="659"/>
      <c r="L10" s="1157">
        <f t="shared" ref="L10:L12" si="6">L9</f>
        <v>30</v>
      </c>
      <c r="M10" s="1158">
        <f t="shared" si="1"/>
        <v>0</v>
      </c>
      <c r="N10" s="1159">
        <f t="shared" si="2"/>
        <v>0</v>
      </c>
      <c r="O10" s="659"/>
      <c r="P10" s="1160">
        <f t="shared" si="3"/>
        <v>0</v>
      </c>
      <c r="Q10" s="1161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3" hidden="1" customHeight="1">
      <c r="A11" s="1132" t="s">
        <v>1133</v>
      </c>
      <c r="B11" s="1149" t="str">
        <f t="shared" ref="B11:B12" si="7">B10</f>
        <v>ALEGRETE__AL</v>
      </c>
      <c r="C11" s="1185" t="s">
        <v>1143</v>
      </c>
      <c r="D11" s="1163">
        <v>100</v>
      </c>
      <c r="E11" s="1182"/>
      <c r="F11" s="1164">
        <v>1</v>
      </c>
      <c r="G11" s="1183">
        <v>0</v>
      </c>
      <c r="H11" s="1165">
        <f>G11*F11</f>
        <v>0</v>
      </c>
      <c r="I11" s="647"/>
      <c r="J11" s="1156">
        <f t="shared" si="0"/>
        <v>0</v>
      </c>
      <c r="K11" s="647"/>
      <c r="L11" s="1157">
        <f t="shared" si="6"/>
        <v>30</v>
      </c>
      <c r="M11" s="1158">
        <f t="shared" si="1"/>
        <v>0</v>
      </c>
      <c r="N11" s="1159">
        <f t="shared" si="2"/>
        <v>0</v>
      </c>
      <c r="O11" s="647"/>
      <c r="P11" s="1160">
        <f t="shared" si="3"/>
        <v>0</v>
      </c>
      <c r="Q11" s="1166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33" hidden="1" customHeight="1">
      <c r="A12" s="1132" t="s">
        <v>1133</v>
      </c>
      <c r="B12" s="1167" t="str">
        <f t="shared" si="7"/>
        <v>ALEGRETE__AL</v>
      </c>
      <c r="C12" s="1168" t="s">
        <v>1144</v>
      </c>
      <c r="D12" s="1169">
        <v>100</v>
      </c>
      <c r="E12" s="661"/>
      <c r="F12" s="1170">
        <v>1</v>
      </c>
      <c r="G12" s="1171">
        <v>0</v>
      </c>
      <c r="H12" s="1172">
        <f t="shared" ref="H12:H13" si="8">ROUND(G12*F12,2)</f>
        <v>0</v>
      </c>
      <c r="I12" s="1173">
        <f>SUMIF(E10:E12, "&gt;="&amp;1, H10:H12)</f>
        <v>0</v>
      </c>
      <c r="J12" s="1174">
        <f t="shared" si="0"/>
        <v>0</v>
      </c>
      <c r="K12" s="1173">
        <f>J10+J11+J12</f>
        <v>0</v>
      </c>
      <c r="L12" s="1175">
        <f t="shared" si="6"/>
        <v>30</v>
      </c>
      <c r="M12" s="1176">
        <f t="shared" si="1"/>
        <v>0</v>
      </c>
      <c r="N12" s="1177">
        <f t="shared" si="2"/>
        <v>0</v>
      </c>
      <c r="O12" s="1173">
        <f>IF(J10&gt;0, (N10+N11+N12)*1, 0)</f>
        <v>0</v>
      </c>
      <c r="P12" s="1178">
        <f t="shared" si="3"/>
        <v>0</v>
      </c>
      <c r="Q12" s="1179">
        <f>IF(M10&gt;0, (P10+P11+P12)*1, 0)</f>
        <v>0</v>
      </c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35.25" customHeight="1" outlineLevel="1">
      <c r="A13" s="1132" t="s">
        <v>1133</v>
      </c>
      <c r="B13" s="1149" t="str">
        <f>B10</f>
        <v>ALEGRETE__AL</v>
      </c>
      <c r="C13" s="1180" t="s">
        <v>5</v>
      </c>
      <c r="D13" s="1181">
        <v>200</v>
      </c>
      <c r="E13" s="1182">
        <v>1</v>
      </c>
      <c r="F13" s="1164">
        <v>1</v>
      </c>
      <c r="G13" s="1183">
        <v>6642.23</v>
      </c>
      <c r="H13" s="1184">
        <f t="shared" si="8"/>
        <v>6642.23</v>
      </c>
      <c r="I13" s="659"/>
      <c r="J13" s="1156">
        <f t="shared" si="0"/>
        <v>6642.23</v>
      </c>
      <c r="K13" s="659"/>
      <c r="L13" s="1157">
        <f>'1-ABA-DE-CARREGAMENTO'!C94</f>
        <v>30</v>
      </c>
      <c r="M13" s="1158">
        <f t="shared" si="1"/>
        <v>30</v>
      </c>
      <c r="N13" s="1159">
        <f t="shared" si="2"/>
        <v>79706.759999999995</v>
      </c>
      <c r="O13" s="659"/>
      <c r="P13" s="1160">
        <f t="shared" si="3"/>
        <v>199266.9</v>
      </c>
      <c r="Q13" s="1161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5.25" customHeight="1" outlineLevel="1">
      <c r="A14" s="1132" t="s">
        <v>1133</v>
      </c>
      <c r="B14" s="1149" t="str">
        <f t="shared" ref="B14:B15" si="9">B13</f>
        <v>ALEGRETE__AL</v>
      </c>
      <c r="C14" s="1185" t="s">
        <v>1145</v>
      </c>
      <c r="D14" s="1163">
        <v>200</v>
      </c>
      <c r="E14" s="1182">
        <v>1</v>
      </c>
      <c r="F14" s="1164">
        <v>1</v>
      </c>
      <c r="G14" s="1183">
        <v>76.285287862499999</v>
      </c>
      <c r="H14" s="1165">
        <f>G14*F14</f>
        <v>76.285287862499999</v>
      </c>
      <c r="I14" s="647"/>
      <c r="J14" s="1156">
        <f t="shared" ref="J14:J15" si="10">H14</f>
        <v>76.285287862499999</v>
      </c>
      <c r="K14" s="647"/>
      <c r="L14" s="1157">
        <f>'1-ABA-DE-CARREGAMENTO'!C94</f>
        <v>30</v>
      </c>
      <c r="M14" s="1158">
        <f t="shared" si="1"/>
        <v>30</v>
      </c>
      <c r="N14" s="1159">
        <f t="shared" si="2"/>
        <v>915.42345434999993</v>
      </c>
      <c r="O14" s="647"/>
      <c r="P14" s="1160">
        <f t="shared" si="3"/>
        <v>2288.5586358750002</v>
      </c>
      <c r="Q14" s="1166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35.25" customHeight="1" outlineLevel="1">
      <c r="A15" s="1132" t="s">
        <v>1133</v>
      </c>
      <c r="B15" s="1167" t="str">
        <f t="shared" si="9"/>
        <v>ALEGRETE__AL</v>
      </c>
      <c r="C15" s="1168" t="s">
        <v>1146</v>
      </c>
      <c r="D15" s="1169">
        <v>200</v>
      </c>
      <c r="E15" s="661">
        <v>1</v>
      </c>
      <c r="F15" s="1170">
        <v>1</v>
      </c>
      <c r="G15" s="1171">
        <v>0</v>
      </c>
      <c r="H15" s="1172">
        <f t="shared" ref="H15:H16" si="11">ROUND(G15*F15,2)</f>
        <v>0</v>
      </c>
      <c r="I15" s="1173">
        <f>SUMIF(E13:E15, "&gt;="&amp;1, H13:H15)</f>
        <v>6718.5152878624995</v>
      </c>
      <c r="J15" s="1174">
        <f t="shared" si="10"/>
        <v>0</v>
      </c>
      <c r="K15" s="1173">
        <f>J13+J14+J15</f>
        <v>6718.5152878624995</v>
      </c>
      <c r="L15" s="1175">
        <f>'1-ABA-DE-CARREGAMENTO'!C94</f>
        <v>30</v>
      </c>
      <c r="M15" s="1176">
        <f t="shared" si="1"/>
        <v>30</v>
      </c>
      <c r="N15" s="1177">
        <f t="shared" si="2"/>
        <v>0</v>
      </c>
      <c r="O15" s="1173">
        <f>IF(J13&gt;0, (N13+N14+N15)*1, 0)</f>
        <v>80622.183454350001</v>
      </c>
      <c r="P15" s="1178">
        <f t="shared" si="3"/>
        <v>0</v>
      </c>
      <c r="Q15" s="1179">
        <f>IF(M13&gt;0, (P13+P14+P15)*1, 0)</f>
        <v>201555.45863587499</v>
      </c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5.25" hidden="1" customHeight="1" outlineLevel="1">
      <c r="A16" s="1132" t="s">
        <v>1133</v>
      </c>
      <c r="B16" s="1149" t="str">
        <f>B13</f>
        <v>ALEGRETE__AL</v>
      </c>
      <c r="C16" s="1180" t="s">
        <v>6</v>
      </c>
      <c r="D16" s="1163">
        <v>100</v>
      </c>
      <c r="E16" s="1182"/>
      <c r="F16" s="1164">
        <v>1</v>
      </c>
      <c r="G16" s="1154">
        <v>4000.08</v>
      </c>
      <c r="H16" s="1184">
        <f t="shared" si="11"/>
        <v>4000.08</v>
      </c>
      <c r="I16" s="659"/>
      <c r="J16" s="1156">
        <f>H16*E16</f>
        <v>0</v>
      </c>
      <c r="K16" s="659"/>
      <c r="L16" s="1157">
        <f t="shared" ref="L16:L27" si="12">L13</f>
        <v>30</v>
      </c>
      <c r="M16" s="1158">
        <f t="shared" si="1"/>
        <v>0</v>
      </c>
      <c r="N16" s="1159">
        <f t="shared" si="2"/>
        <v>0</v>
      </c>
      <c r="O16" s="659"/>
      <c r="P16" s="1160">
        <f t="shared" si="3"/>
        <v>0</v>
      </c>
      <c r="Q16" s="1161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5.25" hidden="1" customHeight="1" outlineLevel="1">
      <c r="A17" s="1132" t="s">
        <v>1133</v>
      </c>
      <c r="B17" s="1149" t="str">
        <f t="shared" ref="B17:B18" si="13">B16</f>
        <v>ALEGRETE__AL</v>
      </c>
      <c r="C17" s="1185" t="s">
        <v>1147</v>
      </c>
      <c r="D17" s="1163">
        <v>200</v>
      </c>
      <c r="E17" s="1182"/>
      <c r="F17" s="1164">
        <v>1</v>
      </c>
      <c r="G17" s="1154">
        <v>0</v>
      </c>
      <c r="H17" s="1165">
        <f>G17*F17</f>
        <v>0</v>
      </c>
      <c r="I17" s="647"/>
      <c r="J17" s="1156">
        <f t="shared" ref="J17:J18" si="14">H17</f>
        <v>0</v>
      </c>
      <c r="K17" s="647"/>
      <c r="L17" s="1157">
        <f t="shared" si="12"/>
        <v>30</v>
      </c>
      <c r="M17" s="1158">
        <f t="shared" si="1"/>
        <v>0</v>
      </c>
      <c r="N17" s="1159">
        <f t="shared" si="2"/>
        <v>0</v>
      </c>
      <c r="O17" s="647"/>
      <c r="P17" s="1160">
        <f t="shared" si="3"/>
        <v>0</v>
      </c>
      <c r="Q17" s="1166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5.25" hidden="1" customHeight="1" outlineLevel="1">
      <c r="A18" s="1132" t="s">
        <v>1133</v>
      </c>
      <c r="B18" s="1167" t="str">
        <f t="shared" si="13"/>
        <v>ALEGRETE__AL</v>
      </c>
      <c r="C18" s="1168" t="s">
        <v>1148</v>
      </c>
      <c r="D18" s="1169">
        <v>100</v>
      </c>
      <c r="E18" s="661"/>
      <c r="F18" s="1170">
        <v>1</v>
      </c>
      <c r="G18" s="1171">
        <v>0</v>
      </c>
      <c r="H18" s="1172">
        <f t="shared" ref="H18:H19" si="15">ROUND(G18*F18,2)</f>
        <v>0</v>
      </c>
      <c r="I18" s="1173">
        <f>SUMIF(E16:E18, "&gt;="&amp;1, H16:H18)</f>
        <v>0</v>
      </c>
      <c r="J18" s="1174">
        <f t="shared" si="14"/>
        <v>0</v>
      </c>
      <c r="K18" s="1173">
        <f>J16+J17+J18</f>
        <v>0</v>
      </c>
      <c r="L18" s="1175">
        <f t="shared" si="12"/>
        <v>30</v>
      </c>
      <c r="M18" s="1176">
        <f t="shared" si="1"/>
        <v>0</v>
      </c>
      <c r="N18" s="1177">
        <f t="shared" si="2"/>
        <v>0</v>
      </c>
      <c r="O18" s="1173">
        <f>IF(J16&gt;0, (N16+N17+N18)*1, 0)</f>
        <v>0</v>
      </c>
      <c r="P18" s="1178">
        <f t="shared" si="3"/>
        <v>0</v>
      </c>
      <c r="Q18" s="1179">
        <f>IF(M16&gt;0, (P16+P17+P18)*1, 0)</f>
        <v>0</v>
      </c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5.25" hidden="1" customHeight="1" outlineLevel="1">
      <c r="A19" s="1132" t="s">
        <v>1133</v>
      </c>
      <c r="B19" s="1149" t="str">
        <f>B16</f>
        <v>ALEGRETE__AL</v>
      </c>
      <c r="C19" s="1180" t="s">
        <v>7</v>
      </c>
      <c r="D19" s="1163">
        <v>200</v>
      </c>
      <c r="E19" s="1182"/>
      <c r="F19" s="1164">
        <v>1</v>
      </c>
      <c r="G19" s="1154">
        <v>12542.649999999998</v>
      </c>
      <c r="H19" s="1184">
        <f t="shared" si="15"/>
        <v>12542.65</v>
      </c>
      <c r="I19" s="659"/>
      <c r="J19" s="1156">
        <f t="shared" ref="J19:J27" si="16">H19*E19</f>
        <v>0</v>
      </c>
      <c r="K19" s="659"/>
      <c r="L19" s="1157">
        <f t="shared" si="12"/>
        <v>30</v>
      </c>
      <c r="M19" s="1158">
        <f t="shared" si="1"/>
        <v>0</v>
      </c>
      <c r="N19" s="1159">
        <f t="shared" si="2"/>
        <v>0</v>
      </c>
      <c r="O19" s="659"/>
      <c r="P19" s="1160">
        <f t="shared" si="3"/>
        <v>0</v>
      </c>
      <c r="Q19" s="1161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5.25" hidden="1" customHeight="1" outlineLevel="1">
      <c r="A20" s="1132" t="s">
        <v>1133</v>
      </c>
      <c r="B20" s="1149" t="str">
        <f t="shared" ref="B20:B21" si="17">B19</f>
        <v>ALEGRETE__AL</v>
      </c>
      <c r="C20" s="1185" t="s">
        <v>1149</v>
      </c>
      <c r="D20" s="1163">
        <v>200</v>
      </c>
      <c r="E20" s="1182"/>
      <c r="F20" s="1164">
        <v>1</v>
      </c>
      <c r="G20" s="1154">
        <v>0</v>
      </c>
      <c r="H20" s="1165">
        <f>G20*F20</f>
        <v>0</v>
      </c>
      <c r="I20" s="647"/>
      <c r="J20" s="1156">
        <f t="shared" si="16"/>
        <v>0</v>
      </c>
      <c r="K20" s="647"/>
      <c r="L20" s="1157">
        <f t="shared" si="12"/>
        <v>30</v>
      </c>
      <c r="M20" s="1158">
        <f t="shared" si="1"/>
        <v>0</v>
      </c>
      <c r="N20" s="1159">
        <f t="shared" si="2"/>
        <v>0</v>
      </c>
      <c r="O20" s="647"/>
      <c r="P20" s="1160">
        <f t="shared" si="3"/>
        <v>0</v>
      </c>
      <c r="Q20" s="1166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5.25" hidden="1" customHeight="1" outlineLevel="1">
      <c r="A21" s="1132" t="s">
        <v>1133</v>
      </c>
      <c r="B21" s="1167" t="str">
        <f t="shared" si="17"/>
        <v>ALEGRETE__AL</v>
      </c>
      <c r="C21" s="1168" t="s">
        <v>1150</v>
      </c>
      <c r="D21" s="1169">
        <v>200</v>
      </c>
      <c r="E21" s="661"/>
      <c r="F21" s="1170">
        <v>1</v>
      </c>
      <c r="G21" s="1171">
        <v>0</v>
      </c>
      <c r="H21" s="1172">
        <f t="shared" ref="H21:H22" si="18">ROUND(G21*F21,2)</f>
        <v>0</v>
      </c>
      <c r="I21" s="1173">
        <f>SUMIF(E19:E21, "&gt;="&amp;1, H19:H21)</f>
        <v>0</v>
      </c>
      <c r="J21" s="1174">
        <f t="shared" si="16"/>
        <v>0</v>
      </c>
      <c r="K21" s="1173">
        <f>J19+J20+J21</f>
        <v>0</v>
      </c>
      <c r="L21" s="1175">
        <f t="shared" si="12"/>
        <v>30</v>
      </c>
      <c r="M21" s="1176">
        <f t="shared" si="1"/>
        <v>0</v>
      </c>
      <c r="N21" s="1177">
        <f t="shared" si="2"/>
        <v>0</v>
      </c>
      <c r="O21" s="1173">
        <f>IF(J19&gt;0, (N19+N20+N21)*1, 0)</f>
        <v>0</v>
      </c>
      <c r="P21" s="1178">
        <f t="shared" si="3"/>
        <v>0</v>
      </c>
      <c r="Q21" s="1179">
        <f>IF(M19&gt;0, (P19+P20+P21)*1, 0)</f>
        <v>0</v>
      </c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5.25" hidden="1" customHeight="1" outlineLevel="1">
      <c r="A22" s="1132" t="s">
        <v>1133</v>
      </c>
      <c r="B22" s="1149" t="str">
        <f t="shared" ref="B22:B24" si="19">B19</f>
        <v>ALEGRETE__AL</v>
      </c>
      <c r="C22" s="1180" t="s">
        <v>8</v>
      </c>
      <c r="D22" s="1163">
        <v>100</v>
      </c>
      <c r="E22" s="1182"/>
      <c r="F22" s="1164">
        <v>1</v>
      </c>
      <c r="G22" s="1154">
        <v>7045.67</v>
      </c>
      <c r="H22" s="1184">
        <f t="shared" si="18"/>
        <v>7045.67</v>
      </c>
      <c r="I22" s="659"/>
      <c r="J22" s="1156">
        <f t="shared" si="16"/>
        <v>0</v>
      </c>
      <c r="K22" s="659"/>
      <c r="L22" s="1157">
        <f t="shared" si="12"/>
        <v>30</v>
      </c>
      <c r="M22" s="1158">
        <f t="shared" si="1"/>
        <v>0</v>
      </c>
      <c r="N22" s="1159">
        <f t="shared" si="2"/>
        <v>0</v>
      </c>
      <c r="O22" s="659"/>
      <c r="P22" s="1160">
        <f t="shared" si="3"/>
        <v>0</v>
      </c>
      <c r="Q22" s="1161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5.25" hidden="1" customHeight="1" outlineLevel="1">
      <c r="A23" s="1132" t="s">
        <v>1133</v>
      </c>
      <c r="B23" s="1149" t="str">
        <f t="shared" si="19"/>
        <v>ALEGRETE__AL</v>
      </c>
      <c r="C23" s="1185" t="s">
        <v>1151</v>
      </c>
      <c r="D23" s="1163">
        <v>100</v>
      </c>
      <c r="E23" s="1182"/>
      <c r="F23" s="1164">
        <v>1</v>
      </c>
      <c r="G23" s="1154">
        <v>0</v>
      </c>
      <c r="H23" s="1165">
        <f>G23*F23</f>
        <v>0</v>
      </c>
      <c r="I23" s="647"/>
      <c r="J23" s="1156">
        <f t="shared" si="16"/>
        <v>0</v>
      </c>
      <c r="K23" s="647"/>
      <c r="L23" s="1157">
        <f t="shared" si="12"/>
        <v>30</v>
      </c>
      <c r="M23" s="1158">
        <f t="shared" si="1"/>
        <v>0</v>
      </c>
      <c r="N23" s="1159">
        <f t="shared" si="2"/>
        <v>0</v>
      </c>
      <c r="O23" s="647"/>
      <c r="P23" s="1160">
        <f t="shared" si="3"/>
        <v>0</v>
      </c>
      <c r="Q23" s="1166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5.25" hidden="1" customHeight="1" outlineLevel="1">
      <c r="A24" s="1132" t="s">
        <v>1133</v>
      </c>
      <c r="B24" s="1167" t="str">
        <f t="shared" si="19"/>
        <v>ALEGRETE__AL</v>
      </c>
      <c r="C24" s="1168" t="s">
        <v>1152</v>
      </c>
      <c r="D24" s="1169">
        <v>100</v>
      </c>
      <c r="E24" s="661"/>
      <c r="F24" s="1170">
        <v>1</v>
      </c>
      <c r="G24" s="1171">
        <v>0</v>
      </c>
      <c r="H24" s="1172">
        <f t="shared" ref="H24:H25" si="20">ROUND(G24*F24,2)</f>
        <v>0</v>
      </c>
      <c r="I24" s="1173">
        <f>SUMIF(E22:E24, "&gt;="&amp;1, H22:H24)</f>
        <v>0</v>
      </c>
      <c r="J24" s="1174">
        <f t="shared" si="16"/>
        <v>0</v>
      </c>
      <c r="K24" s="1173">
        <f>J22+J23+J24</f>
        <v>0</v>
      </c>
      <c r="L24" s="1175">
        <f t="shared" si="12"/>
        <v>30</v>
      </c>
      <c r="M24" s="1176">
        <f t="shared" si="1"/>
        <v>0</v>
      </c>
      <c r="N24" s="1177">
        <f t="shared" si="2"/>
        <v>0</v>
      </c>
      <c r="O24" s="1173">
        <f>IF(J22&gt;0, (N22+N23+N24)*1, 0)</f>
        <v>0</v>
      </c>
      <c r="P24" s="1178">
        <f t="shared" si="3"/>
        <v>0</v>
      </c>
      <c r="Q24" s="1179">
        <f>IF(M22&gt;0, (P22+P23+P24)*1, 0)</f>
        <v>0</v>
      </c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5.25" hidden="1" customHeight="1" outlineLevel="1">
      <c r="A25" s="1132" t="s">
        <v>1133</v>
      </c>
      <c r="B25" s="1149" t="str">
        <f>B19</f>
        <v>ALEGRETE__AL</v>
      </c>
      <c r="C25" s="1180" t="s">
        <v>9</v>
      </c>
      <c r="D25" s="1163">
        <v>200</v>
      </c>
      <c r="E25" s="1182"/>
      <c r="F25" s="1164">
        <v>1</v>
      </c>
      <c r="G25" s="1154">
        <v>6316.29</v>
      </c>
      <c r="H25" s="1184">
        <f t="shared" si="20"/>
        <v>6316.29</v>
      </c>
      <c r="I25" s="659"/>
      <c r="J25" s="1156">
        <f t="shared" si="16"/>
        <v>0</v>
      </c>
      <c r="K25" s="659"/>
      <c r="L25" s="1157">
        <f t="shared" si="12"/>
        <v>30</v>
      </c>
      <c r="M25" s="1158">
        <f t="shared" si="1"/>
        <v>0</v>
      </c>
      <c r="N25" s="1159">
        <f t="shared" si="2"/>
        <v>0</v>
      </c>
      <c r="O25" s="659"/>
      <c r="P25" s="1160">
        <f t="shared" si="3"/>
        <v>0</v>
      </c>
      <c r="Q25" s="1161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5.25" hidden="1" customHeight="1" outlineLevel="1">
      <c r="A26" s="1132" t="s">
        <v>1133</v>
      </c>
      <c r="B26" s="1149" t="str">
        <f t="shared" ref="B26:B27" si="21">B25</f>
        <v>ALEGRETE__AL</v>
      </c>
      <c r="C26" s="1185" t="s">
        <v>1153</v>
      </c>
      <c r="D26" s="1163">
        <v>200</v>
      </c>
      <c r="E26" s="1182"/>
      <c r="F26" s="1164">
        <v>1</v>
      </c>
      <c r="G26" s="1154">
        <v>0</v>
      </c>
      <c r="H26" s="1165">
        <f>G26*F26</f>
        <v>0</v>
      </c>
      <c r="I26" s="647"/>
      <c r="J26" s="1156">
        <f t="shared" si="16"/>
        <v>0</v>
      </c>
      <c r="K26" s="647"/>
      <c r="L26" s="1157">
        <f t="shared" si="12"/>
        <v>30</v>
      </c>
      <c r="M26" s="1158">
        <f t="shared" si="1"/>
        <v>0</v>
      </c>
      <c r="N26" s="1159">
        <f t="shared" si="2"/>
        <v>0</v>
      </c>
      <c r="O26" s="647"/>
      <c r="P26" s="1160">
        <f t="shared" si="3"/>
        <v>0</v>
      </c>
      <c r="Q26" s="1166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5.25" hidden="1" customHeight="1" outlineLevel="1">
      <c r="A27" s="1132" t="s">
        <v>1133</v>
      </c>
      <c r="B27" s="1167" t="str">
        <f t="shared" si="21"/>
        <v>ALEGRETE__AL</v>
      </c>
      <c r="C27" s="1168" t="s">
        <v>1154</v>
      </c>
      <c r="D27" s="1169">
        <v>200</v>
      </c>
      <c r="E27" s="661"/>
      <c r="F27" s="1170">
        <v>1</v>
      </c>
      <c r="G27" s="1171">
        <v>0</v>
      </c>
      <c r="H27" s="1155">
        <f>ROUND(G27*F27,2)</f>
        <v>0</v>
      </c>
      <c r="I27" s="1173">
        <f>SUMIF(E25:E27, "&gt;="&amp;1, H25:H27)</f>
        <v>0</v>
      </c>
      <c r="J27" s="1174">
        <f t="shared" si="16"/>
        <v>0</v>
      </c>
      <c r="K27" s="1173">
        <f>J25+J26+J27</f>
        <v>0</v>
      </c>
      <c r="L27" s="1175">
        <f t="shared" si="12"/>
        <v>30</v>
      </c>
      <c r="M27" s="1176">
        <f t="shared" si="1"/>
        <v>0</v>
      </c>
      <c r="N27" s="1177">
        <f t="shared" si="2"/>
        <v>0</v>
      </c>
      <c r="O27" s="1173">
        <f>IF(J25&gt;0, (N25+N26+N27)*1, 0)</f>
        <v>0</v>
      </c>
      <c r="P27" s="1178">
        <f t="shared" si="3"/>
        <v>0</v>
      </c>
      <c r="Q27" s="1179">
        <f>IF(M25&gt;0, (P25+P26+P27)*1, 0)</f>
        <v>0</v>
      </c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5.25" customHeight="1">
      <c r="A28" s="1186" t="s">
        <v>1155</v>
      </c>
      <c r="B28" s="1187" t="str">
        <f>B7</f>
        <v>ALEGRETE__AL</v>
      </c>
      <c r="C28" s="1188"/>
      <c r="D28" s="1189"/>
      <c r="E28" s="1189"/>
      <c r="F28" s="1190"/>
      <c r="G28" s="1191"/>
      <c r="H28" s="1192"/>
      <c r="I28" s="1193">
        <f t="shared" ref="I28:J28" si="22">SUM(I7:I27)</f>
        <v>6718.5152878624995</v>
      </c>
      <c r="J28" s="1193">
        <f t="shared" si="22"/>
        <v>6718.5152878624995</v>
      </c>
      <c r="K28" s="1193">
        <f>K9+K12+K15+K18+K21+K24+K27</f>
        <v>6718.5152878624995</v>
      </c>
      <c r="L28" s="1194"/>
      <c r="M28" s="1193"/>
      <c r="N28" s="1193">
        <f t="shared" ref="N28:Q28" si="23">SUM(N7:N27)</f>
        <v>80622.183454350001</v>
      </c>
      <c r="O28" s="1193">
        <f t="shared" si="23"/>
        <v>80622.183454350001</v>
      </c>
      <c r="P28" s="1193">
        <f t="shared" si="23"/>
        <v>201555.45863587499</v>
      </c>
      <c r="Q28" s="1193">
        <f t="shared" si="23"/>
        <v>201555.45863587499</v>
      </c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0" hidden="1">
      <c r="A29" s="1132" t="s">
        <v>325</v>
      </c>
      <c r="B29" s="582" t="s">
        <v>1133</v>
      </c>
      <c r="C29" s="1195"/>
      <c r="D29" s="1196"/>
      <c r="E29" s="13"/>
      <c r="F29" s="13"/>
      <c r="G29" s="1197"/>
      <c r="H29" s="1184"/>
      <c r="I29" s="594" t="s">
        <v>1133</v>
      </c>
      <c r="J29" s="1198" t="s">
        <v>1133</v>
      </c>
      <c r="K29" s="594"/>
      <c r="L29" s="1157">
        <f t="shared" ref="L29:L36" si="24">L26</f>
        <v>30</v>
      </c>
      <c r="M29" s="13" t="s">
        <v>1133</v>
      </c>
      <c r="N29" s="592" t="s">
        <v>1133</v>
      </c>
      <c r="O29" s="594" t="s">
        <v>1133</v>
      </c>
      <c r="P29" s="13" t="s">
        <v>1133</v>
      </c>
      <c r="Q29" s="1198" t="s">
        <v>1133</v>
      </c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0" hidden="1" customHeight="1">
      <c r="A30" s="1132" t="s">
        <v>1133</v>
      </c>
      <c r="B30" s="1149" t="str">
        <f>'CAMPUS.CONTRATANTE'!D11</f>
        <v>CAÇAPAVA-DO-SUL__CS</v>
      </c>
      <c r="C30" s="1150" t="s">
        <v>3</v>
      </c>
      <c r="D30" s="1151">
        <v>200</v>
      </c>
      <c r="E30" s="1152"/>
      <c r="F30" s="1153">
        <v>1</v>
      </c>
      <c r="G30" s="1154">
        <v>6946.13</v>
      </c>
      <c r="H30" s="1155">
        <f>ROUND(G30*F30,2)</f>
        <v>6946.13</v>
      </c>
      <c r="I30" s="659"/>
      <c r="J30" s="1156">
        <f t="shared" ref="J30:J42" si="25">H30*E30</f>
        <v>0</v>
      </c>
      <c r="K30" s="659"/>
      <c r="L30" s="1157">
        <f t="shared" si="24"/>
        <v>30</v>
      </c>
      <c r="M30" s="1158">
        <f t="shared" ref="M30:M50" si="26">L30*E30</f>
        <v>0</v>
      </c>
      <c r="N30" s="1159">
        <f t="shared" ref="N30:N50" si="27">J30*12</f>
        <v>0</v>
      </c>
      <c r="O30" s="659"/>
      <c r="P30" s="1160">
        <f t="shared" ref="P30:P50" si="28">J30*L30</f>
        <v>0</v>
      </c>
      <c r="Q30" s="1161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6.75" hidden="1" customHeight="1">
      <c r="A31" s="1132" t="s">
        <v>1133</v>
      </c>
      <c r="B31" s="1149" t="str">
        <f t="shared" ref="B31:B32" si="29">B30</f>
        <v>CAÇAPAVA-DO-SUL__CS</v>
      </c>
      <c r="C31" s="1162" t="s">
        <v>1141</v>
      </c>
      <c r="D31" s="1163">
        <v>200</v>
      </c>
      <c r="E31" s="1152"/>
      <c r="F31" s="1164">
        <v>1</v>
      </c>
      <c r="G31" s="1154">
        <v>0</v>
      </c>
      <c r="H31" s="1165">
        <f>G31*F31</f>
        <v>0</v>
      </c>
      <c r="I31" s="647"/>
      <c r="J31" s="1156">
        <f t="shared" si="25"/>
        <v>0</v>
      </c>
      <c r="K31" s="647"/>
      <c r="L31" s="1157">
        <f t="shared" si="24"/>
        <v>0</v>
      </c>
      <c r="M31" s="1158">
        <f t="shared" si="26"/>
        <v>0</v>
      </c>
      <c r="N31" s="1159">
        <f t="shared" si="27"/>
        <v>0</v>
      </c>
      <c r="O31" s="647"/>
      <c r="P31" s="1160">
        <f t="shared" si="28"/>
        <v>0</v>
      </c>
      <c r="Q31" s="1166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6.75" hidden="1" customHeight="1">
      <c r="A32" s="1132" t="s">
        <v>1133</v>
      </c>
      <c r="B32" s="1167" t="str">
        <f t="shared" si="29"/>
        <v>CAÇAPAVA-DO-SUL__CS</v>
      </c>
      <c r="C32" s="1168" t="s">
        <v>1142</v>
      </c>
      <c r="D32" s="1169">
        <v>200</v>
      </c>
      <c r="E32" s="661"/>
      <c r="F32" s="1170">
        <v>1</v>
      </c>
      <c r="G32" s="1171">
        <v>0</v>
      </c>
      <c r="H32" s="1172">
        <f t="shared" ref="H32:H33" si="30">ROUND(G32*F32,2)</f>
        <v>0</v>
      </c>
      <c r="I32" s="1173">
        <f>SUMIF(E30:E32, "&gt;="&amp;1, H30:H32)</f>
        <v>0</v>
      </c>
      <c r="J32" s="1174">
        <f t="shared" si="25"/>
        <v>0</v>
      </c>
      <c r="K32" s="1173">
        <f>J30+J31+J32</f>
        <v>0</v>
      </c>
      <c r="L32" s="1175">
        <f t="shared" si="24"/>
        <v>30</v>
      </c>
      <c r="M32" s="1176">
        <f t="shared" si="26"/>
        <v>0</v>
      </c>
      <c r="N32" s="1177">
        <f t="shared" si="27"/>
        <v>0</v>
      </c>
      <c r="O32" s="1173">
        <f>IF(J30&gt;0, (N30+N31+N32)*1, 0)</f>
        <v>0</v>
      </c>
      <c r="P32" s="1178">
        <f t="shared" si="28"/>
        <v>0</v>
      </c>
      <c r="Q32" s="1179">
        <f>IF(M30&gt;0, (P30+P31+P32)*1, 0)</f>
        <v>0</v>
      </c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0" hidden="1" customHeight="1" outlineLevel="1">
      <c r="A33" s="1132" t="s">
        <v>1133</v>
      </c>
      <c r="B33" s="1149" t="str">
        <f>B30</f>
        <v>CAÇAPAVA-DO-SUL__CS</v>
      </c>
      <c r="C33" s="1180" t="s">
        <v>4</v>
      </c>
      <c r="D33" s="1181">
        <v>100</v>
      </c>
      <c r="E33" s="1182"/>
      <c r="F33" s="1164">
        <v>1</v>
      </c>
      <c r="G33" s="1183">
        <v>4393.72</v>
      </c>
      <c r="H33" s="1184">
        <f t="shared" si="30"/>
        <v>4393.72</v>
      </c>
      <c r="I33" s="659"/>
      <c r="J33" s="1156">
        <f t="shared" si="25"/>
        <v>0</v>
      </c>
      <c r="K33" s="659"/>
      <c r="L33" s="1157">
        <f t="shared" si="24"/>
        <v>30</v>
      </c>
      <c r="M33" s="1158">
        <f t="shared" si="26"/>
        <v>0</v>
      </c>
      <c r="N33" s="1159">
        <f t="shared" si="27"/>
        <v>0</v>
      </c>
      <c r="O33" s="659"/>
      <c r="P33" s="1160">
        <f t="shared" si="28"/>
        <v>0</v>
      </c>
      <c r="Q33" s="1161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6.75" hidden="1" customHeight="1" outlineLevel="1">
      <c r="A34" s="1132" t="s">
        <v>1133</v>
      </c>
      <c r="B34" s="1149" t="str">
        <f t="shared" ref="B34:B35" si="31">B33</f>
        <v>CAÇAPAVA-DO-SUL__CS</v>
      </c>
      <c r="C34" s="1185" t="s">
        <v>1143</v>
      </c>
      <c r="D34" s="1163">
        <v>100</v>
      </c>
      <c r="E34" s="1182"/>
      <c r="F34" s="1164">
        <v>1</v>
      </c>
      <c r="G34" s="1183">
        <v>0</v>
      </c>
      <c r="H34" s="1165">
        <f>G34*F34</f>
        <v>0</v>
      </c>
      <c r="I34" s="647"/>
      <c r="J34" s="1156">
        <f t="shared" si="25"/>
        <v>0</v>
      </c>
      <c r="K34" s="647"/>
      <c r="L34" s="1157">
        <f t="shared" si="24"/>
        <v>0</v>
      </c>
      <c r="M34" s="1158">
        <f t="shared" si="26"/>
        <v>0</v>
      </c>
      <c r="N34" s="1159">
        <f t="shared" si="27"/>
        <v>0</v>
      </c>
      <c r="O34" s="647"/>
      <c r="P34" s="1160">
        <f t="shared" si="28"/>
        <v>0</v>
      </c>
      <c r="Q34" s="1166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6.75" hidden="1" customHeight="1">
      <c r="A35" s="1132" t="s">
        <v>1133</v>
      </c>
      <c r="B35" s="1167" t="str">
        <f t="shared" si="31"/>
        <v>CAÇAPAVA-DO-SUL__CS</v>
      </c>
      <c r="C35" s="1168" t="s">
        <v>1144</v>
      </c>
      <c r="D35" s="1169">
        <v>100</v>
      </c>
      <c r="E35" s="661"/>
      <c r="F35" s="1170">
        <v>1</v>
      </c>
      <c r="G35" s="1171">
        <v>0</v>
      </c>
      <c r="H35" s="1172">
        <f t="shared" ref="H35:H36" si="32">ROUND(G35*F35,2)</f>
        <v>0</v>
      </c>
      <c r="I35" s="1173">
        <f>SUMIF(E33:E35, "&gt;="&amp;1, H33:H35)</f>
        <v>0</v>
      </c>
      <c r="J35" s="1174">
        <f t="shared" si="25"/>
        <v>0</v>
      </c>
      <c r="K35" s="1173">
        <f>J33+J34+J35</f>
        <v>0</v>
      </c>
      <c r="L35" s="1175">
        <f t="shared" si="24"/>
        <v>30</v>
      </c>
      <c r="M35" s="1176">
        <f t="shared" si="26"/>
        <v>0</v>
      </c>
      <c r="N35" s="1177">
        <f t="shared" si="27"/>
        <v>0</v>
      </c>
      <c r="O35" s="1173">
        <f>IF(J33&gt;0, (N33+N34+N35)*1, 0)</f>
        <v>0</v>
      </c>
      <c r="P35" s="1178">
        <f t="shared" si="28"/>
        <v>0</v>
      </c>
      <c r="Q35" s="1179">
        <f>IF(M33&gt;0, (P33+P34+P35)*1, 0)</f>
        <v>0</v>
      </c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0" hidden="1" customHeight="1" outlineLevel="1">
      <c r="A36" s="1132" t="s">
        <v>1133</v>
      </c>
      <c r="B36" s="1149" t="str">
        <f>B33</f>
        <v>CAÇAPAVA-DO-SUL__CS</v>
      </c>
      <c r="C36" s="1180" t="s">
        <v>5</v>
      </c>
      <c r="D36" s="1181">
        <v>200</v>
      </c>
      <c r="E36" s="1182"/>
      <c r="F36" s="1164">
        <v>1</v>
      </c>
      <c r="G36" s="1183">
        <v>6508.68</v>
      </c>
      <c r="H36" s="1184">
        <f t="shared" si="32"/>
        <v>6508.68</v>
      </c>
      <c r="I36" s="659"/>
      <c r="J36" s="1156">
        <f t="shared" si="25"/>
        <v>0</v>
      </c>
      <c r="K36" s="659"/>
      <c r="L36" s="1157">
        <f t="shared" si="24"/>
        <v>30</v>
      </c>
      <c r="M36" s="1158">
        <f t="shared" si="26"/>
        <v>0</v>
      </c>
      <c r="N36" s="1159">
        <f t="shared" si="27"/>
        <v>0</v>
      </c>
      <c r="O36" s="659"/>
      <c r="P36" s="1160">
        <f t="shared" si="28"/>
        <v>0</v>
      </c>
      <c r="Q36" s="1161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6.75" hidden="1" customHeight="1" outlineLevel="1">
      <c r="A37" s="1132" t="s">
        <v>1133</v>
      </c>
      <c r="B37" s="1149" t="str">
        <f t="shared" ref="B37:B38" si="33">B36</f>
        <v>CAÇAPAVA-DO-SUL__CS</v>
      </c>
      <c r="C37" s="1185" t="s">
        <v>1145</v>
      </c>
      <c r="D37" s="1163">
        <v>200</v>
      </c>
      <c r="E37" s="1182"/>
      <c r="F37" s="1164">
        <v>1</v>
      </c>
      <c r="G37" s="1183">
        <v>0</v>
      </c>
      <c r="H37" s="1165">
        <f>G37*F37</f>
        <v>0</v>
      </c>
      <c r="I37" s="647"/>
      <c r="J37" s="1156">
        <f t="shared" si="25"/>
        <v>0</v>
      </c>
      <c r="K37" s="647"/>
      <c r="L37" s="1157">
        <f>L36</f>
        <v>30</v>
      </c>
      <c r="M37" s="1158">
        <f t="shared" si="26"/>
        <v>0</v>
      </c>
      <c r="N37" s="1159">
        <f t="shared" si="27"/>
        <v>0</v>
      </c>
      <c r="O37" s="647"/>
      <c r="P37" s="1160">
        <f t="shared" si="28"/>
        <v>0</v>
      </c>
      <c r="Q37" s="1166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36.75" hidden="1" customHeight="1" outlineLevel="1">
      <c r="A38" s="1132" t="s">
        <v>1133</v>
      </c>
      <c r="B38" s="1167" t="str">
        <f t="shared" si="33"/>
        <v>CAÇAPAVA-DO-SUL__CS</v>
      </c>
      <c r="C38" s="1168" t="s">
        <v>1146</v>
      </c>
      <c r="D38" s="1169">
        <v>200</v>
      </c>
      <c r="E38" s="661"/>
      <c r="F38" s="1170">
        <v>1</v>
      </c>
      <c r="G38" s="1171">
        <v>0</v>
      </c>
      <c r="H38" s="1172">
        <f t="shared" ref="H38:H39" si="34">ROUND(G38*F38,2)</f>
        <v>0</v>
      </c>
      <c r="I38" s="1173">
        <f>SUMIF(E36:E38, "&gt;="&amp;1, H36:H38)</f>
        <v>0</v>
      </c>
      <c r="J38" s="1174">
        <f t="shared" si="25"/>
        <v>0</v>
      </c>
      <c r="K38" s="1173">
        <f>J36+J37+J38</f>
        <v>0</v>
      </c>
      <c r="L38" s="1175">
        <f t="shared" ref="L38:L50" si="35">L35</f>
        <v>30</v>
      </c>
      <c r="M38" s="1176">
        <f t="shared" si="26"/>
        <v>0</v>
      </c>
      <c r="N38" s="1177">
        <f t="shared" si="27"/>
        <v>0</v>
      </c>
      <c r="O38" s="1173">
        <f>IF(J36&gt;0, (N36+N37+N38)*1, 0)</f>
        <v>0</v>
      </c>
      <c r="P38" s="1178">
        <f t="shared" si="28"/>
        <v>0</v>
      </c>
      <c r="Q38" s="1179">
        <f>IF(M36&gt;0, (P36+P37+P38)*1, 0)</f>
        <v>0</v>
      </c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0" hidden="1" customHeight="1" outlineLevel="1">
      <c r="A39" s="1132" t="s">
        <v>1133</v>
      </c>
      <c r="B39" s="1149" t="str">
        <f>B36</f>
        <v>CAÇAPAVA-DO-SUL__CS</v>
      </c>
      <c r="C39" s="1180" t="s">
        <v>6</v>
      </c>
      <c r="D39" s="1163">
        <v>100</v>
      </c>
      <c r="E39" s="1182"/>
      <c r="F39" s="1164">
        <v>1</v>
      </c>
      <c r="G39" s="1154">
        <v>3851.41</v>
      </c>
      <c r="H39" s="1184">
        <f t="shared" si="34"/>
        <v>3851.41</v>
      </c>
      <c r="I39" s="659"/>
      <c r="J39" s="1156">
        <f t="shared" si="25"/>
        <v>0</v>
      </c>
      <c r="K39" s="659"/>
      <c r="L39" s="1157">
        <f t="shared" si="35"/>
        <v>30</v>
      </c>
      <c r="M39" s="1158">
        <f t="shared" si="26"/>
        <v>0</v>
      </c>
      <c r="N39" s="1159">
        <f t="shared" si="27"/>
        <v>0</v>
      </c>
      <c r="O39" s="659"/>
      <c r="P39" s="1160">
        <f t="shared" si="28"/>
        <v>0</v>
      </c>
      <c r="Q39" s="1161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36.75" hidden="1" customHeight="1" outlineLevel="1">
      <c r="A40" s="1132" t="s">
        <v>1133</v>
      </c>
      <c r="B40" s="1149" t="str">
        <f t="shared" ref="B40:B41" si="36">B39</f>
        <v>CAÇAPAVA-DO-SUL__CS</v>
      </c>
      <c r="C40" s="1185" t="s">
        <v>1147</v>
      </c>
      <c r="D40" s="1163">
        <v>200</v>
      </c>
      <c r="E40" s="1182"/>
      <c r="F40" s="1164">
        <v>1</v>
      </c>
      <c r="G40" s="1154">
        <v>0</v>
      </c>
      <c r="H40" s="1165">
        <f>G40*F40</f>
        <v>0</v>
      </c>
      <c r="I40" s="647"/>
      <c r="J40" s="1156">
        <f t="shared" si="25"/>
        <v>0</v>
      </c>
      <c r="K40" s="647"/>
      <c r="L40" s="1157">
        <f t="shared" si="35"/>
        <v>30</v>
      </c>
      <c r="M40" s="1158">
        <f t="shared" si="26"/>
        <v>0</v>
      </c>
      <c r="N40" s="1159">
        <f t="shared" si="27"/>
        <v>0</v>
      </c>
      <c r="O40" s="647"/>
      <c r="P40" s="1160">
        <f t="shared" si="28"/>
        <v>0</v>
      </c>
      <c r="Q40" s="1166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36.75" hidden="1" customHeight="1" outlineLevel="1">
      <c r="A41" s="1132" t="s">
        <v>1133</v>
      </c>
      <c r="B41" s="1167" t="str">
        <f t="shared" si="36"/>
        <v>CAÇAPAVA-DO-SUL__CS</v>
      </c>
      <c r="C41" s="1168" t="s">
        <v>1148</v>
      </c>
      <c r="D41" s="1169">
        <v>100</v>
      </c>
      <c r="E41" s="661"/>
      <c r="F41" s="1170">
        <v>1</v>
      </c>
      <c r="G41" s="1171">
        <v>0</v>
      </c>
      <c r="H41" s="1172">
        <f t="shared" ref="H41:H42" si="37">ROUND(G41*F41,2)</f>
        <v>0</v>
      </c>
      <c r="I41" s="1173">
        <f>SUMIF(E39:E41, "&gt;="&amp;1, H39:H41)</f>
        <v>0</v>
      </c>
      <c r="J41" s="1174">
        <f t="shared" si="25"/>
        <v>0</v>
      </c>
      <c r="K41" s="1173">
        <f>J39+J40+J41</f>
        <v>0</v>
      </c>
      <c r="L41" s="1175">
        <f t="shared" si="35"/>
        <v>30</v>
      </c>
      <c r="M41" s="1176">
        <f t="shared" si="26"/>
        <v>0</v>
      </c>
      <c r="N41" s="1177">
        <f t="shared" si="27"/>
        <v>0</v>
      </c>
      <c r="O41" s="1173">
        <f>IF(J39&gt;0, (N39+N40+N41)*1, 0)</f>
        <v>0</v>
      </c>
      <c r="P41" s="1178">
        <f t="shared" si="28"/>
        <v>0</v>
      </c>
      <c r="Q41" s="1179">
        <f>IF(M39&gt;0, (P39+P40+P41)*1, 0)</f>
        <v>0</v>
      </c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30" customHeight="1" outlineLevel="1">
      <c r="A42" s="1132" t="s">
        <v>1133</v>
      </c>
      <c r="B42" s="1149" t="str">
        <f>B39</f>
        <v>CAÇAPAVA-DO-SUL__CS</v>
      </c>
      <c r="C42" s="1180" t="s">
        <v>7</v>
      </c>
      <c r="D42" s="1163">
        <v>200</v>
      </c>
      <c r="E42" s="1182">
        <v>1</v>
      </c>
      <c r="F42" s="1164">
        <v>1</v>
      </c>
      <c r="G42" s="1154">
        <v>12614.529999999999</v>
      </c>
      <c r="H42" s="1184">
        <f t="shared" si="37"/>
        <v>12614.53</v>
      </c>
      <c r="I42" s="659"/>
      <c r="J42" s="1156">
        <f t="shared" si="25"/>
        <v>12614.53</v>
      </c>
      <c r="K42" s="659"/>
      <c r="L42" s="1157">
        <f t="shared" si="35"/>
        <v>30</v>
      </c>
      <c r="M42" s="1158">
        <f t="shared" si="26"/>
        <v>30</v>
      </c>
      <c r="N42" s="1159">
        <f t="shared" si="27"/>
        <v>151374.36000000002</v>
      </c>
      <c r="O42" s="659"/>
      <c r="P42" s="1160">
        <f t="shared" si="28"/>
        <v>378435.9</v>
      </c>
      <c r="Q42" s="1161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30" customHeight="1" outlineLevel="1">
      <c r="A43" s="1132" t="s">
        <v>1133</v>
      </c>
      <c r="B43" s="1149" t="str">
        <f t="shared" ref="B43:B44" si="38">B42</f>
        <v>CAÇAPAVA-DO-SUL__CS</v>
      </c>
      <c r="C43" s="1185" t="s">
        <v>1149</v>
      </c>
      <c r="D43" s="1163">
        <v>200</v>
      </c>
      <c r="E43" s="1182">
        <v>1</v>
      </c>
      <c r="F43" s="1164">
        <v>1</v>
      </c>
      <c r="G43" s="1154">
        <v>0</v>
      </c>
      <c r="H43" s="1165">
        <f>G43*F43</f>
        <v>0</v>
      </c>
      <c r="I43" s="647"/>
      <c r="J43" s="1156">
        <f t="shared" ref="J43:J44" si="39">H43</f>
        <v>0</v>
      </c>
      <c r="K43" s="647"/>
      <c r="L43" s="1157">
        <f t="shared" si="35"/>
        <v>30</v>
      </c>
      <c r="M43" s="1158">
        <f t="shared" si="26"/>
        <v>30</v>
      </c>
      <c r="N43" s="1159">
        <f t="shared" si="27"/>
        <v>0</v>
      </c>
      <c r="O43" s="647"/>
      <c r="P43" s="1160">
        <f t="shared" si="28"/>
        <v>0</v>
      </c>
      <c r="Q43" s="1166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30" customHeight="1" outlineLevel="1">
      <c r="A44" s="1132" t="s">
        <v>1133</v>
      </c>
      <c r="B44" s="1167" t="str">
        <f t="shared" si="38"/>
        <v>CAÇAPAVA-DO-SUL__CS</v>
      </c>
      <c r="C44" s="1168" t="s">
        <v>1150</v>
      </c>
      <c r="D44" s="1169">
        <v>200</v>
      </c>
      <c r="E44" s="661">
        <v>1</v>
      </c>
      <c r="F44" s="1170">
        <v>1</v>
      </c>
      <c r="G44" s="1171">
        <v>0</v>
      </c>
      <c r="H44" s="1172">
        <f t="shared" ref="H44:H45" si="40">ROUND(G44*F44,2)</f>
        <v>0</v>
      </c>
      <c r="I44" s="1173">
        <f>SUMIF(E42:E44, "&gt;="&amp;1, H42:H44)</f>
        <v>12614.53</v>
      </c>
      <c r="J44" s="1174">
        <f t="shared" si="39"/>
        <v>0</v>
      </c>
      <c r="K44" s="1173">
        <f>J42+J43+J44</f>
        <v>12614.53</v>
      </c>
      <c r="L44" s="1175">
        <f t="shared" si="35"/>
        <v>30</v>
      </c>
      <c r="M44" s="1176">
        <f t="shared" si="26"/>
        <v>30</v>
      </c>
      <c r="N44" s="1177">
        <f t="shared" si="27"/>
        <v>0</v>
      </c>
      <c r="O44" s="1173">
        <f>IF(J42&gt;0, (N42+N43+N44)*1, 0)</f>
        <v>151374.36000000002</v>
      </c>
      <c r="P44" s="1178">
        <f t="shared" si="28"/>
        <v>0</v>
      </c>
      <c r="Q44" s="1179">
        <f>IF(M42&gt;0, (P42+P43+P44)*1, 0)</f>
        <v>378435.9</v>
      </c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30" hidden="1" customHeight="1" outlineLevel="1">
      <c r="A45" s="1132" t="s">
        <v>1133</v>
      </c>
      <c r="B45" s="1149" t="str">
        <f>B41</f>
        <v>CAÇAPAVA-DO-SUL__CS</v>
      </c>
      <c r="C45" s="1180" t="s">
        <v>8</v>
      </c>
      <c r="D45" s="1163">
        <v>100</v>
      </c>
      <c r="E45" s="1182"/>
      <c r="F45" s="1164">
        <v>1</v>
      </c>
      <c r="G45" s="1154">
        <v>6914.4500000000007</v>
      </c>
      <c r="H45" s="1184">
        <f t="shared" si="40"/>
        <v>6914.45</v>
      </c>
      <c r="I45" s="659"/>
      <c r="J45" s="1156">
        <f>H45*E45</f>
        <v>0</v>
      </c>
      <c r="K45" s="659"/>
      <c r="L45" s="1157">
        <f t="shared" si="35"/>
        <v>30</v>
      </c>
      <c r="M45" s="1158">
        <f t="shared" si="26"/>
        <v>0</v>
      </c>
      <c r="N45" s="1159">
        <f t="shared" si="27"/>
        <v>0</v>
      </c>
      <c r="O45" s="659"/>
      <c r="P45" s="1160">
        <f t="shared" si="28"/>
        <v>0</v>
      </c>
      <c r="Q45" s="1161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36.75" hidden="1" customHeight="1" outlineLevel="1">
      <c r="A46" s="1132" t="s">
        <v>1133</v>
      </c>
      <c r="B46" s="1149" t="str">
        <f t="shared" ref="B46:B51" si="41">B45</f>
        <v>CAÇAPAVA-DO-SUL__CS</v>
      </c>
      <c r="C46" s="1185" t="s">
        <v>1151</v>
      </c>
      <c r="D46" s="1163">
        <v>100</v>
      </c>
      <c r="E46" s="1182"/>
      <c r="F46" s="1164">
        <v>1</v>
      </c>
      <c r="G46" s="1154">
        <v>0</v>
      </c>
      <c r="H46" s="1165">
        <f>G46*F46</f>
        <v>0</v>
      </c>
      <c r="I46" s="647"/>
      <c r="J46" s="1156">
        <f t="shared" ref="J46:J47" si="42">H46</f>
        <v>0</v>
      </c>
      <c r="K46" s="647"/>
      <c r="L46" s="1157">
        <f t="shared" si="35"/>
        <v>30</v>
      </c>
      <c r="M46" s="1158">
        <f t="shared" si="26"/>
        <v>0</v>
      </c>
      <c r="N46" s="1159">
        <f t="shared" si="27"/>
        <v>0</v>
      </c>
      <c r="O46" s="647"/>
      <c r="P46" s="1160">
        <f t="shared" si="28"/>
        <v>0</v>
      </c>
      <c r="Q46" s="1166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36.75" hidden="1" customHeight="1" outlineLevel="1">
      <c r="A47" s="1132" t="s">
        <v>1133</v>
      </c>
      <c r="B47" s="1167" t="str">
        <f t="shared" si="41"/>
        <v>CAÇAPAVA-DO-SUL__CS</v>
      </c>
      <c r="C47" s="1168" t="s">
        <v>1152</v>
      </c>
      <c r="D47" s="1169">
        <v>100</v>
      </c>
      <c r="E47" s="661"/>
      <c r="F47" s="1170">
        <v>1</v>
      </c>
      <c r="G47" s="1171">
        <v>0</v>
      </c>
      <c r="H47" s="1172">
        <f t="shared" ref="H47:H48" si="43">ROUND(G47*F47,2)</f>
        <v>0</v>
      </c>
      <c r="I47" s="1173">
        <f>SUMIF(E45:E47, "&gt;="&amp;1, H45:H47)</f>
        <v>0</v>
      </c>
      <c r="J47" s="1174">
        <f t="shared" si="42"/>
        <v>0</v>
      </c>
      <c r="K47" s="1173">
        <f>J45+J46+J47</f>
        <v>0</v>
      </c>
      <c r="L47" s="1175">
        <f t="shared" si="35"/>
        <v>30</v>
      </c>
      <c r="M47" s="1176">
        <f t="shared" si="26"/>
        <v>0</v>
      </c>
      <c r="N47" s="1177">
        <f t="shared" si="27"/>
        <v>0</v>
      </c>
      <c r="O47" s="1173">
        <f>IF(J45&gt;0, (N45+N46+N47)*1, 0)</f>
        <v>0</v>
      </c>
      <c r="P47" s="1178">
        <f t="shared" si="28"/>
        <v>0</v>
      </c>
      <c r="Q47" s="1179">
        <f>IF(M45&gt;0, (P45+P46+P47)*1, 0)</f>
        <v>0</v>
      </c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30" hidden="1" customHeight="1" outlineLevel="1">
      <c r="A48" s="1132" t="s">
        <v>1133</v>
      </c>
      <c r="B48" s="1149" t="str">
        <f t="shared" si="41"/>
        <v>CAÇAPAVA-DO-SUL__CS</v>
      </c>
      <c r="C48" s="1180" t="s">
        <v>9</v>
      </c>
      <c r="D48" s="1163">
        <v>200</v>
      </c>
      <c r="E48" s="1182"/>
      <c r="F48" s="1164">
        <v>1</v>
      </c>
      <c r="G48" s="1154">
        <v>6180.88</v>
      </c>
      <c r="H48" s="1184">
        <f t="shared" si="43"/>
        <v>6180.88</v>
      </c>
      <c r="I48" s="659"/>
      <c r="J48" s="1156">
        <f t="shared" ref="J48:J50" si="44">H48*E48</f>
        <v>0</v>
      </c>
      <c r="K48" s="659"/>
      <c r="L48" s="1157">
        <f t="shared" si="35"/>
        <v>30</v>
      </c>
      <c r="M48" s="1158">
        <f t="shared" si="26"/>
        <v>0</v>
      </c>
      <c r="N48" s="1159">
        <f t="shared" si="27"/>
        <v>0</v>
      </c>
      <c r="O48" s="659"/>
      <c r="P48" s="1160">
        <f t="shared" si="28"/>
        <v>0</v>
      </c>
      <c r="Q48" s="1161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36.75" hidden="1" customHeight="1" outlineLevel="1">
      <c r="A49" s="1132" t="s">
        <v>1133</v>
      </c>
      <c r="B49" s="1149" t="str">
        <f t="shared" si="41"/>
        <v>CAÇAPAVA-DO-SUL__CS</v>
      </c>
      <c r="C49" s="1185" t="s">
        <v>1153</v>
      </c>
      <c r="D49" s="1163">
        <v>200</v>
      </c>
      <c r="E49" s="1182"/>
      <c r="F49" s="1164">
        <v>1</v>
      </c>
      <c r="G49" s="1154">
        <v>0</v>
      </c>
      <c r="H49" s="1165">
        <f>G49*F49</f>
        <v>0</v>
      </c>
      <c r="I49" s="647"/>
      <c r="J49" s="1156">
        <f t="shared" si="44"/>
        <v>0</v>
      </c>
      <c r="K49" s="647"/>
      <c r="L49" s="1157">
        <f t="shared" si="35"/>
        <v>30</v>
      </c>
      <c r="M49" s="1158">
        <f t="shared" si="26"/>
        <v>0</v>
      </c>
      <c r="N49" s="1159">
        <f t="shared" si="27"/>
        <v>0</v>
      </c>
      <c r="O49" s="647"/>
      <c r="P49" s="1160">
        <f t="shared" si="28"/>
        <v>0</v>
      </c>
      <c r="Q49" s="1166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36.75" hidden="1" customHeight="1" outlineLevel="1">
      <c r="A50" s="1132" t="s">
        <v>1133</v>
      </c>
      <c r="B50" s="1167" t="str">
        <f t="shared" si="41"/>
        <v>CAÇAPAVA-DO-SUL__CS</v>
      </c>
      <c r="C50" s="1168" t="s">
        <v>1154</v>
      </c>
      <c r="D50" s="1169">
        <v>200</v>
      </c>
      <c r="E50" s="661"/>
      <c r="F50" s="1170">
        <v>1</v>
      </c>
      <c r="G50" s="1171">
        <v>0</v>
      </c>
      <c r="H50" s="1155">
        <f>ROUND(G50*F50,2)</f>
        <v>0</v>
      </c>
      <c r="I50" s="1173">
        <f>SUMIF(E48:E50, "&gt;="&amp;1, H48:H50)</f>
        <v>0</v>
      </c>
      <c r="J50" s="1174">
        <f t="shared" si="44"/>
        <v>0</v>
      </c>
      <c r="K50" s="1173">
        <f>J48+J49+J50</f>
        <v>0</v>
      </c>
      <c r="L50" s="1175">
        <f t="shared" si="35"/>
        <v>30</v>
      </c>
      <c r="M50" s="1176">
        <f t="shared" si="26"/>
        <v>0</v>
      </c>
      <c r="N50" s="1177">
        <f t="shared" si="27"/>
        <v>0</v>
      </c>
      <c r="O50" s="1173">
        <f>IF(J48&gt;0, (N48+N49+N50)*1, 0)</f>
        <v>0</v>
      </c>
      <c r="P50" s="1178">
        <f t="shared" si="28"/>
        <v>0</v>
      </c>
      <c r="Q50" s="1179">
        <f>IF(M48&gt;0, (P48+P49+P50)*1, 0)</f>
        <v>0</v>
      </c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35.25" customHeight="1">
      <c r="A51" s="1186" t="s">
        <v>1155</v>
      </c>
      <c r="B51" s="1187" t="str">
        <f t="shared" si="41"/>
        <v>CAÇAPAVA-DO-SUL__CS</v>
      </c>
      <c r="C51" s="1188"/>
      <c r="D51" s="1199"/>
      <c r="E51" s="1189"/>
      <c r="F51" s="1200"/>
      <c r="G51" s="1191"/>
      <c r="H51" s="1192"/>
      <c r="I51" s="1193">
        <f t="shared" ref="I51:J51" si="45">SUM(I30:I50)</f>
        <v>12614.53</v>
      </c>
      <c r="J51" s="1193">
        <f t="shared" si="45"/>
        <v>12614.53</v>
      </c>
      <c r="K51" s="1193">
        <f>K32+K35+K38+K41+K44+K47+K50</f>
        <v>12614.53</v>
      </c>
      <c r="L51" s="1194"/>
      <c r="M51" s="1193"/>
      <c r="N51" s="1193">
        <f t="shared" ref="N51:Q51" si="46">SUM(N30:N50)</f>
        <v>151374.36000000002</v>
      </c>
      <c r="O51" s="1193">
        <f t="shared" si="46"/>
        <v>151374.36000000002</v>
      </c>
      <c r="P51" s="1193">
        <f t="shared" si="46"/>
        <v>378435.9</v>
      </c>
      <c r="Q51" s="1193">
        <f t="shared" si="46"/>
        <v>378435.9</v>
      </c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hidden="1" customHeight="1">
      <c r="A52" s="1132" t="s">
        <v>325</v>
      </c>
      <c r="B52" s="582"/>
      <c r="C52" s="1195"/>
      <c r="D52" s="13"/>
      <c r="E52" s="13"/>
      <c r="F52" s="13"/>
      <c r="G52" s="1197"/>
      <c r="H52" s="1155"/>
      <c r="I52" s="594"/>
      <c r="J52" s="1198"/>
      <c r="K52" s="594"/>
      <c r="L52" s="1157">
        <f t="shared" ref="L52:L53" si="47">L49</f>
        <v>30</v>
      </c>
      <c r="M52" s="13"/>
      <c r="N52" s="592"/>
      <c r="O52" s="594"/>
      <c r="P52" s="13"/>
      <c r="Q52" s="1198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33" hidden="1" customHeight="1">
      <c r="A53" s="1132" t="s">
        <v>325</v>
      </c>
      <c r="B53" s="1149" t="str">
        <f>'CAMPUS.CONTRATANTE'!D12</f>
        <v>FREDERICO-WESTFALEN__FW</v>
      </c>
      <c r="C53" s="1150" t="s">
        <v>3</v>
      </c>
      <c r="D53" s="1151">
        <v>200</v>
      </c>
      <c r="E53" s="1152"/>
      <c r="F53" s="1153">
        <v>1</v>
      </c>
      <c r="G53" s="1154">
        <v>6918.74</v>
      </c>
      <c r="H53" s="1155">
        <f>ROUND(G53*F53,2)</f>
        <v>6918.74</v>
      </c>
      <c r="I53" s="659"/>
      <c r="J53" s="1156">
        <f>H53*E53</f>
        <v>0</v>
      </c>
      <c r="K53" s="659"/>
      <c r="L53" s="1157">
        <f t="shared" si="47"/>
        <v>30</v>
      </c>
      <c r="M53" s="1158">
        <f t="shared" ref="M53:M73" si="48">L53*E53</f>
        <v>0</v>
      </c>
      <c r="N53" s="1159">
        <f t="shared" ref="N53:N73" si="49">J53*12</f>
        <v>0</v>
      </c>
      <c r="O53" s="659"/>
      <c r="P53" s="1160">
        <f t="shared" ref="P53:P73" si="50">J53*L53</f>
        <v>0</v>
      </c>
      <c r="Q53" s="1161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33" hidden="1" customHeight="1">
      <c r="A54" s="1132" t="s">
        <v>1133</v>
      </c>
      <c r="B54" s="1149" t="str">
        <f t="shared" ref="B54:B55" si="51">B53</f>
        <v>FREDERICO-WESTFALEN__FW</v>
      </c>
      <c r="C54" s="1162" t="s">
        <v>1141</v>
      </c>
      <c r="D54" s="1163">
        <v>200</v>
      </c>
      <c r="E54" s="1152"/>
      <c r="F54" s="1164">
        <v>1</v>
      </c>
      <c r="G54" s="1154">
        <v>0</v>
      </c>
      <c r="H54" s="1165">
        <f>G54*F54</f>
        <v>0</v>
      </c>
      <c r="I54" s="647"/>
      <c r="J54" s="1156">
        <f t="shared" ref="J54:J55" si="52">H54</f>
        <v>0</v>
      </c>
      <c r="K54" s="647"/>
      <c r="L54" s="1157">
        <f>L53</f>
        <v>30</v>
      </c>
      <c r="M54" s="1158">
        <f t="shared" si="48"/>
        <v>0</v>
      </c>
      <c r="N54" s="1159">
        <f t="shared" si="49"/>
        <v>0</v>
      </c>
      <c r="O54" s="647"/>
      <c r="P54" s="1160">
        <f t="shared" si="50"/>
        <v>0</v>
      </c>
      <c r="Q54" s="1166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33" hidden="1" customHeight="1">
      <c r="A55" s="1132" t="s">
        <v>1133</v>
      </c>
      <c r="B55" s="1167" t="str">
        <f t="shared" si="51"/>
        <v>FREDERICO-WESTFALEN__FW</v>
      </c>
      <c r="C55" s="1168" t="s">
        <v>1142</v>
      </c>
      <c r="D55" s="1169">
        <v>200</v>
      </c>
      <c r="E55" s="661"/>
      <c r="F55" s="1170">
        <v>1</v>
      </c>
      <c r="G55" s="1171">
        <v>0</v>
      </c>
      <c r="H55" s="1172">
        <f t="shared" ref="H55:H56" si="53">ROUND(G55*F55,2)</f>
        <v>0</v>
      </c>
      <c r="I55" s="1173">
        <f>SUMIF(E53:E55, "&gt;="&amp;1, H53:H55)</f>
        <v>0</v>
      </c>
      <c r="J55" s="1174">
        <f t="shared" si="52"/>
        <v>0</v>
      </c>
      <c r="K55" s="1173">
        <f>J53+J54+J55</f>
        <v>0</v>
      </c>
      <c r="L55" s="1175">
        <f t="shared" ref="L55:L73" si="54">L52</f>
        <v>30</v>
      </c>
      <c r="M55" s="1176">
        <f t="shared" si="48"/>
        <v>0</v>
      </c>
      <c r="N55" s="1177">
        <f t="shared" si="49"/>
        <v>0</v>
      </c>
      <c r="O55" s="1173">
        <f>IF(J53&gt;0, (N53+N54+N55)*1, 0)</f>
        <v>0</v>
      </c>
      <c r="P55" s="1178">
        <f t="shared" si="50"/>
        <v>0</v>
      </c>
      <c r="Q55" s="1179">
        <f>IF(M53&gt;0, (P53+P54+P55)*1, 0)</f>
        <v>0</v>
      </c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33" hidden="1" customHeight="1" outlineLevel="1">
      <c r="A56" s="1132" t="s">
        <v>1133</v>
      </c>
      <c r="B56" s="1149" t="str">
        <f>B53</f>
        <v>FREDERICO-WESTFALEN__FW</v>
      </c>
      <c r="C56" s="1180" t="s">
        <v>4</v>
      </c>
      <c r="D56" s="1181">
        <v>100</v>
      </c>
      <c r="E56" s="1182"/>
      <c r="F56" s="1164">
        <v>1</v>
      </c>
      <c r="G56" s="1183">
        <v>4380.8900000000003</v>
      </c>
      <c r="H56" s="1184">
        <f t="shared" si="53"/>
        <v>4380.8900000000003</v>
      </c>
      <c r="I56" s="659"/>
      <c r="J56" s="1156">
        <f t="shared" ref="J56:J73" si="55">H56*E56</f>
        <v>0</v>
      </c>
      <c r="K56" s="659"/>
      <c r="L56" s="1157">
        <f t="shared" si="54"/>
        <v>30</v>
      </c>
      <c r="M56" s="1158">
        <f t="shared" si="48"/>
        <v>0</v>
      </c>
      <c r="N56" s="1159">
        <f t="shared" si="49"/>
        <v>0</v>
      </c>
      <c r="O56" s="659"/>
      <c r="P56" s="1160">
        <f t="shared" si="50"/>
        <v>0</v>
      </c>
      <c r="Q56" s="1161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33" hidden="1" customHeight="1" outlineLevel="1">
      <c r="A57" s="1132" t="s">
        <v>1133</v>
      </c>
      <c r="B57" s="1149" t="str">
        <f t="shared" ref="B57:B58" si="56">B56</f>
        <v>FREDERICO-WESTFALEN__FW</v>
      </c>
      <c r="C57" s="1185" t="s">
        <v>1143</v>
      </c>
      <c r="D57" s="1163">
        <v>100</v>
      </c>
      <c r="E57" s="1182"/>
      <c r="F57" s="1164">
        <v>1</v>
      </c>
      <c r="G57" s="1183">
        <v>0</v>
      </c>
      <c r="H57" s="1165">
        <f>G57*F57</f>
        <v>0</v>
      </c>
      <c r="I57" s="647"/>
      <c r="J57" s="1156">
        <f t="shared" si="55"/>
        <v>0</v>
      </c>
      <c r="K57" s="647"/>
      <c r="L57" s="1157">
        <f t="shared" si="54"/>
        <v>30</v>
      </c>
      <c r="M57" s="1158">
        <f t="shared" si="48"/>
        <v>0</v>
      </c>
      <c r="N57" s="1159">
        <f t="shared" si="49"/>
        <v>0</v>
      </c>
      <c r="O57" s="647"/>
      <c r="P57" s="1160">
        <f t="shared" si="50"/>
        <v>0</v>
      </c>
      <c r="Q57" s="1166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33" hidden="1" customHeight="1" outlineLevel="1">
      <c r="A58" s="1132" t="s">
        <v>1133</v>
      </c>
      <c r="B58" s="1167" t="str">
        <f t="shared" si="56"/>
        <v>FREDERICO-WESTFALEN__FW</v>
      </c>
      <c r="C58" s="1168" t="s">
        <v>1144</v>
      </c>
      <c r="D58" s="1169">
        <v>100</v>
      </c>
      <c r="E58" s="661"/>
      <c r="F58" s="1170">
        <v>1</v>
      </c>
      <c r="G58" s="1171">
        <v>0</v>
      </c>
      <c r="H58" s="1172">
        <f t="shared" ref="H58:H59" si="57">ROUND(G58*F58,2)</f>
        <v>0</v>
      </c>
      <c r="I58" s="1173">
        <f>SUMIF(E56:E58, "&gt;="&amp;1, H56:H58)</f>
        <v>0</v>
      </c>
      <c r="J58" s="1174">
        <f t="shared" si="55"/>
        <v>0</v>
      </c>
      <c r="K58" s="1173">
        <f>J56+J57+J58</f>
        <v>0</v>
      </c>
      <c r="L58" s="1175">
        <f t="shared" si="54"/>
        <v>30</v>
      </c>
      <c r="M58" s="1176">
        <f t="shared" si="48"/>
        <v>0</v>
      </c>
      <c r="N58" s="1177">
        <f t="shared" si="49"/>
        <v>0</v>
      </c>
      <c r="O58" s="1173">
        <f>IF(J56&gt;0, (N56+N57+N58)*1, 0)</f>
        <v>0</v>
      </c>
      <c r="P58" s="1178">
        <f t="shared" si="50"/>
        <v>0</v>
      </c>
      <c r="Q58" s="1179">
        <f>IF(M56&gt;0, (P56+P57+P58)*1, 0)</f>
        <v>0</v>
      </c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33" customHeight="1" outlineLevel="1">
      <c r="A59" s="1132" t="s">
        <v>1133</v>
      </c>
      <c r="B59" s="1149" t="str">
        <f>B56</f>
        <v>FREDERICO-WESTFALEN__FW</v>
      </c>
      <c r="C59" s="1180" t="s">
        <v>5</v>
      </c>
      <c r="D59" s="1181">
        <v>200</v>
      </c>
      <c r="E59" s="1182">
        <v>1</v>
      </c>
      <c r="F59" s="1164">
        <v>1</v>
      </c>
      <c r="G59" s="1183">
        <v>6483.8</v>
      </c>
      <c r="H59" s="1184">
        <f t="shared" si="57"/>
        <v>6483.8</v>
      </c>
      <c r="I59" s="659"/>
      <c r="J59" s="1156">
        <f t="shared" si="55"/>
        <v>6483.8</v>
      </c>
      <c r="K59" s="659"/>
      <c r="L59" s="1157">
        <f t="shared" si="54"/>
        <v>30</v>
      </c>
      <c r="M59" s="1158">
        <f t="shared" si="48"/>
        <v>30</v>
      </c>
      <c r="N59" s="1159">
        <f t="shared" si="49"/>
        <v>77805.600000000006</v>
      </c>
      <c r="O59" s="659"/>
      <c r="P59" s="1160">
        <f t="shared" si="50"/>
        <v>194514</v>
      </c>
      <c r="Q59" s="1161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33" customHeight="1" outlineLevel="1">
      <c r="A60" s="1132" t="s">
        <v>1133</v>
      </c>
      <c r="B60" s="1149" t="str">
        <f t="shared" ref="B60:B61" si="58">B59</f>
        <v>FREDERICO-WESTFALEN__FW</v>
      </c>
      <c r="C60" s="1185" t="s">
        <v>1145</v>
      </c>
      <c r="D60" s="1163">
        <v>200</v>
      </c>
      <c r="E60" s="1182">
        <v>1</v>
      </c>
      <c r="F60" s="1164">
        <v>1</v>
      </c>
      <c r="G60" s="1183">
        <v>0</v>
      </c>
      <c r="H60" s="1165">
        <f>G60*F60</f>
        <v>0</v>
      </c>
      <c r="I60" s="647"/>
      <c r="J60" s="1156">
        <f t="shared" si="55"/>
        <v>0</v>
      </c>
      <c r="K60" s="647"/>
      <c r="L60" s="1157">
        <f t="shared" si="54"/>
        <v>30</v>
      </c>
      <c r="M60" s="1158">
        <f t="shared" si="48"/>
        <v>30</v>
      </c>
      <c r="N60" s="1159">
        <f t="shared" si="49"/>
        <v>0</v>
      </c>
      <c r="O60" s="647"/>
      <c r="P60" s="1160">
        <f t="shared" si="50"/>
        <v>0</v>
      </c>
      <c r="Q60" s="1166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33" customHeight="1" outlineLevel="1">
      <c r="A61" s="1132" t="s">
        <v>1133</v>
      </c>
      <c r="B61" s="1167" t="str">
        <f t="shared" si="58"/>
        <v>FREDERICO-WESTFALEN__FW</v>
      </c>
      <c r="C61" s="1168" t="s">
        <v>1146</v>
      </c>
      <c r="D61" s="1169">
        <v>200</v>
      </c>
      <c r="E61" s="661">
        <v>1</v>
      </c>
      <c r="F61" s="1170">
        <v>1</v>
      </c>
      <c r="G61" s="1171">
        <v>0</v>
      </c>
      <c r="H61" s="1172">
        <f t="shared" ref="H61:H62" si="59">ROUND(G61*F61,2)</f>
        <v>0</v>
      </c>
      <c r="I61" s="1173">
        <f>SUMIF(E59:E61, "&gt;="&amp;1, H59:H61)</f>
        <v>6483.8</v>
      </c>
      <c r="J61" s="1174">
        <f t="shared" si="55"/>
        <v>0</v>
      </c>
      <c r="K61" s="1173">
        <f>J59+J60+J61</f>
        <v>6483.8</v>
      </c>
      <c r="L61" s="1175">
        <f t="shared" si="54"/>
        <v>30</v>
      </c>
      <c r="M61" s="1176">
        <f t="shared" si="48"/>
        <v>30</v>
      </c>
      <c r="N61" s="1177">
        <f t="shared" si="49"/>
        <v>0</v>
      </c>
      <c r="O61" s="1173">
        <f>IF(J59&gt;0, (N59+N60+N61)*1, 0)</f>
        <v>77805.600000000006</v>
      </c>
      <c r="P61" s="1178">
        <f t="shared" si="50"/>
        <v>0</v>
      </c>
      <c r="Q61" s="1179">
        <f>IF(M59&gt;0, (P59+P60+P61)*1, 0)</f>
        <v>194514</v>
      </c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33" customHeight="1" outlineLevel="1">
      <c r="A62" s="1132" t="s">
        <v>1133</v>
      </c>
      <c r="B62" s="1149" t="str">
        <f>B59</f>
        <v>FREDERICO-WESTFALEN__FW</v>
      </c>
      <c r="C62" s="1180" t="s">
        <v>6</v>
      </c>
      <c r="D62" s="1163">
        <v>100</v>
      </c>
      <c r="E62" s="1182">
        <v>2</v>
      </c>
      <c r="F62" s="1164">
        <v>1</v>
      </c>
      <c r="G62" s="1154">
        <v>3841.66</v>
      </c>
      <c r="H62" s="1184">
        <f t="shared" si="59"/>
        <v>3841.66</v>
      </c>
      <c r="I62" s="659"/>
      <c r="J62" s="1156">
        <f t="shared" si="55"/>
        <v>7683.32</v>
      </c>
      <c r="K62" s="659"/>
      <c r="L62" s="1157">
        <f t="shared" si="54"/>
        <v>30</v>
      </c>
      <c r="M62" s="1158">
        <f t="shared" si="48"/>
        <v>60</v>
      </c>
      <c r="N62" s="1159">
        <f t="shared" si="49"/>
        <v>92199.84</v>
      </c>
      <c r="O62" s="659"/>
      <c r="P62" s="1160">
        <f t="shared" si="50"/>
        <v>230499.59999999998</v>
      </c>
      <c r="Q62" s="1161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33" customHeight="1" outlineLevel="1">
      <c r="A63" s="1132" t="s">
        <v>1133</v>
      </c>
      <c r="B63" s="1149" t="str">
        <f t="shared" ref="B63:B64" si="60">B62</f>
        <v>FREDERICO-WESTFALEN__FW</v>
      </c>
      <c r="C63" s="1185" t="s">
        <v>1147</v>
      </c>
      <c r="D63" s="1163">
        <v>200</v>
      </c>
      <c r="E63" s="1182">
        <v>2</v>
      </c>
      <c r="F63" s="1164">
        <v>1</v>
      </c>
      <c r="G63" s="1154">
        <v>0</v>
      </c>
      <c r="H63" s="1165">
        <f>G63*F63</f>
        <v>0</v>
      </c>
      <c r="I63" s="647"/>
      <c r="J63" s="1156">
        <f t="shared" si="55"/>
        <v>0</v>
      </c>
      <c r="K63" s="647"/>
      <c r="L63" s="1157">
        <f t="shared" si="54"/>
        <v>30</v>
      </c>
      <c r="M63" s="1158">
        <f t="shared" si="48"/>
        <v>60</v>
      </c>
      <c r="N63" s="1159">
        <f t="shared" si="49"/>
        <v>0</v>
      </c>
      <c r="O63" s="647"/>
      <c r="P63" s="1160">
        <f t="shared" si="50"/>
        <v>0</v>
      </c>
      <c r="Q63" s="1166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33" customHeight="1" outlineLevel="1">
      <c r="A64" s="1132" t="s">
        <v>1133</v>
      </c>
      <c r="B64" s="1167" t="str">
        <f t="shared" si="60"/>
        <v>FREDERICO-WESTFALEN__FW</v>
      </c>
      <c r="C64" s="1168" t="s">
        <v>1148</v>
      </c>
      <c r="D64" s="1169">
        <v>100</v>
      </c>
      <c r="E64" s="661">
        <v>2</v>
      </c>
      <c r="F64" s="1170">
        <v>1</v>
      </c>
      <c r="G64" s="1171">
        <v>0</v>
      </c>
      <c r="H64" s="1172">
        <f t="shared" ref="H64:H65" si="61">ROUND(G64*F64,2)</f>
        <v>0</v>
      </c>
      <c r="I64" s="1173">
        <f>SUMIF(E62:E64, "&gt;="&amp;1, H62:H64)</f>
        <v>3841.66</v>
      </c>
      <c r="J64" s="1174">
        <f t="shared" si="55"/>
        <v>0</v>
      </c>
      <c r="K64" s="1173">
        <f>J62+J63+J64</f>
        <v>7683.32</v>
      </c>
      <c r="L64" s="1175">
        <f t="shared" si="54"/>
        <v>30</v>
      </c>
      <c r="M64" s="1176">
        <f t="shared" si="48"/>
        <v>60</v>
      </c>
      <c r="N64" s="1177">
        <f t="shared" si="49"/>
        <v>0</v>
      </c>
      <c r="O64" s="1173">
        <f>IF(J62&gt;0, (N62+N63+N64)*1, 0)</f>
        <v>92199.84</v>
      </c>
      <c r="P64" s="1178">
        <f t="shared" si="50"/>
        <v>0</v>
      </c>
      <c r="Q64" s="1179">
        <f>IF(M62&gt;0, (P62+P63+P64)*1, 0)</f>
        <v>230499.59999999998</v>
      </c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33" customHeight="1" outlineLevel="1">
      <c r="A65" s="1132" t="s">
        <v>1133</v>
      </c>
      <c r="B65" s="1149" t="str">
        <f>B62</f>
        <v>FREDERICO-WESTFALEN__FW</v>
      </c>
      <c r="C65" s="1180" t="s">
        <v>7</v>
      </c>
      <c r="D65" s="1163">
        <v>200</v>
      </c>
      <c r="E65" s="1182">
        <v>1</v>
      </c>
      <c r="F65" s="1164">
        <v>1</v>
      </c>
      <c r="G65" s="1154">
        <v>12554.869999999999</v>
      </c>
      <c r="H65" s="1184">
        <f t="shared" si="61"/>
        <v>12554.87</v>
      </c>
      <c r="I65" s="659"/>
      <c r="J65" s="1156">
        <f t="shared" si="55"/>
        <v>12554.87</v>
      </c>
      <c r="K65" s="659"/>
      <c r="L65" s="1157">
        <f t="shared" si="54"/>
        <v>30</v>
      </c>
      <c r="M65" s="1158">
        <f t="shared" si="48"/>
        <v>30</v>
      </c>
      <c r="N65" s="1159">
        <f t="shared" si="49"/>
        <v>150658.44</v>
      </c>
      <c r="O65" s="659"/>
      <c r="P65" s="1160">
        <f t="shared" si="50"/>
        <v>376646.10000000003</v>
      </c>
      <c r="Q65" s="1161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33" customHeight="1" outlineLevel="1">
      <c r="A66" s="1132" t="s">
        <v>1133</v>
      </c>
      <c r="B66" s="1149" t="str">
        <f t="shared" ref="B66:B67" si="62">B65</f>
        <v>FREDERICO-WESTFALEN__FW</v>
      </c>
      <c r="C66" s="1185" t="s">
        <v>1149</v>
      </c>
      <c r="D66" s="1163">
        <v>200</v>
      </c>
      <c r="E66" s="1182">
        <v>1</v>
      </c>
      <c r="F66" s="1164">
        <v>1</v>
      </c>
      <c r="G66" s="1154">
        <v>0</v>
      </c>
      <c r="H66" s="1165">
        <f>G66*F66</f>
        <v>0</v>
      </c>
      <c r="I66" s="647"/>
      <c r="J66" s="1156">
        <f t="shared" si="55"/>
        <v>0</v>
      </c>
      <c r="K66" s="647"/>
      <c r="L66" s="1157">
        <f t="shared" si="54"/>
        <v>30</v>
      </c>
      <c r="M66" s="1158">
        <f t="shared" si="48"/>
        <v>30</v>
      </c>
      <c r="N66" s="1159">
        <f t="shared" si="49"/>
        <v>0</v>
      </c>
      <c r="O66" s="647"/>
      <c r="P66" s="1160">
        <f t="shared" si="50"/>
        <v>0</v>
      </c>
      <c r="Q66" s="1166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33" customHeight="1" outlineLevel="1">
      <c r="A67" s="1132" t="s">
        <v>1133</v>
      </c>
      <c r="B67" s="1167" t="str">
        <f t="shared" si="62"/>
        <v>FREDERICO-WESTFALEN__FW</v>
      </c>
      <c r="C67" s="1168" t="s">
        <v>1150</v>
      </c>
      <c r="D67" s="1169">
        <v>200</v>
      </c>
      <c r="E67" s="661">
        <v>1</v>
      </c>
      <c r="F67" s="1170">
        <v>1</v>
      </c>
      <c r="G67" s="1171">
        <v>0</v>
      </c>
      <c r="H67" s="1172">
        <f t="shared" ref="H67:H68" si="63">ROUND(G67*F67,2)</f>
        <v>0</v>
      </c>
      <c r="I67" s="1173">
        <f>SUMIF(E65:E67, "&gt;="&amp;1, H65:H67)</f>
        <v>12554.87</v>
      </c>
      <c r="J67" s="1174">
        <f t="shared" si="55"/>
        <v>0</v>
      </c>
      <c r="K67" s="1173">
        <f>J65+J66+J67</f>
        <v>12554.87</v>
      </c>
      <c r="L67" s="1175">
        <f t="shared" si="54"/>
        <v>30</v>
      </c>
      <c r="M67" s="1176">
        <f t="shared" si="48"/>
        <v>30</v>
      </c>
      <c r="N67" s="1177">
        <f t="shared" si="49"/>
        <v>0</v>
      </c>
      <c r="O67" s="1173">
        <f>IF(J65&gt;0, (N65+N66+N67)*1, 0)</f>
        <v>150658.44</v>
      </c>
      <c r="P67" s="1178">
        <f t="shared" si="50"/>
        <v>0</v>
      </c>
      <c r="Q67" s="1179">
        <f>IF(M65&gt;0, (P65+P66+P67)*1, 0)</f>
        <v>376646.10000000003</v>
      </c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33" customHeight="1" outlineLevel="1">
      <c r="A68" s="1132" t="s">
        <v>1133</v>
      </c>
      <c r="B68" s="1149" t="str">
        <f>B65</f>
        <v>FREDERICO-WESTFALEN__FW</v>
      </c>
      <c r="C68" s="1180" t="s">
        <v>8</v>
      </c>
      <c r="D68" s="1163">
        <v>100</v>
      </c>
      <c r="E68" s="1182">
        <v>2</v>
      </c>
      <c r="F68" s="1164">
        <v>1</v>
      </c>
      <c r="G68" s="1154">
        <v>6887.25</v>
      </c>
      <c r="H68" s="1184">
        <f t="shared" si="63"/>
        <v>6887.25</v>
      </c>
      <c r="I68" s="659"/>
      <c r="J68" s="1156">
        <f t="shared" si="55"/>
        <v>13774.5</v>
      </c>
      <c r="K68" s="659"/>
      <c r="L68" s="1157">
        <f t="shared" si="54"/>
        <v>30</v>
      </c>
      <c r="M68" s="1158">
        <f t="shared" si="48"/>
        <v>60</v>
      </c>
      <c r="N68" s="1159">
        <f t="shared" si="49"/>
        <v>165294</v>
      </c>
      <c r="O68" s="659"/>
      <c r="P68" s="1160">
        <f t="shared" si="50"/>
        <v>413235</v>
      </c>
      <c r="Q68" s="1161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33" customHeight="1" outlineLevel="1">
      <c r="A69" s="1132" t="s">
        <v>1133</v>
      </c>
      <c r="B69" s="1149" t="str">
        <f t="shared" ref="B69:B70" si="64">B68</f>
        <v>FREDERICO-WESTFALEN__FW</v>
      </c>
      <c r="C69" s="1185" t="s">
        <v>1151</v>
      </c>
      <c r="D69" s="1163">
        <v>100</v>
      </c>
      <c r="E69" s="1182">
        <v>2</v>
      </c>
      <c r="F69" s="1164">
        <v>1</v>
      </c>
      <c r="G69" s="1154">
        <v>0</v>
      </c>
      <c r="H69" s="1165">
        <f>G69*F69</f>
        <v>0</v>
      </c>
      <c r="I69" s="647"/>
      <c r="J69" s="1156">
        <f t="shared" si="55"/>
        <v>0</v>
      </c>
      <c r="K69" s="647"/>
      <c r="L69" s="1157">
        <f t="shared" si="54"/>
        <v>30</v>
      </c>
      <c r="M69" s="1158">
        <f t="shared" si="48"/>
        <v>60</v>
      </c>
      <c r="N69" s="1159">
        <f t="shared" si="49"/>
        <v>0</v>
      </c>
      <c r="O69" s="647"/>
      <c r="P69" s="1160">
        <f t="shared" si="50"/>
        <v>0</v>
      </c>
      <c r="Q69" s="1166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33" customHeight="1" outlineLevel="1">
      <c r="A70" s="1132" t="s">
        <v>1133</v>
      </c>
      <c r="B70" s="1167" t="str">
        <f t="shared" si="64"/>
        <v>FREDERICO-WESTFALEN__FW</v>
      </c>
      <c r="C70" s="1168" t="s">
        <v>1152</v>
      </c>
      <c r="D70" s="1169">
        <v>100</v>
      </c>
      <c r="E70" s="661">
        <v>2</v>
      </c>
      <c r="F70" s="1170">
        <v>1</v>
      </c>
      <c r="G70" s="1171">
        <v>0</v>
      </c>
      <c r="H70" s="1172">
        <f t="shared" ref="H70:H71" si="65">ROUND(G70*F70,2)</f>
        <v>0</v>
      </c>
      <c r="I70" s="1173">
        <f>SUMIF(E68:E70, "&gt;="&amp;1, H68:H70)</f>
        <v>6887.25</v>
      </c>
      <c r="J70" s="1174">
        <f t="shared" si="55"/>
        <v>0</v>
      </c>
      <c r="K70" s="1173">
        <f>J68+J69+J70</f>
        <v>13774.5</v>
      </c>
      <c r="L70" s="1175">
        <f t="shared" si="54"/>
        <v>30</v>
      </c>
      <c r="M70" s="1176">
        <f t="shared" si="48"/>
        <v>60</v>
      </c>
      <c r="N70" s="1177">
        <f t="shared" si="49"/>
        <v>0</v>
      </c>
      <c r="O70" s="1173">
        <f>IF(J68&gt;0, (N68+N69+N70)*1, 0)</f>
        <v>165294</v>
      </c>
      <c r="P70" s="1178">
        <f t="shared" si="50"/>
        <v>0</v>
      </c>
      <c r="Q70" s="1179">
        <f>IF(M68&gt;0, (P68+P69+P70)*1, 0)</f>
        <v>413235</v>
      </c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33" hidden="1" customHeight="1" outlineLevel="1">
      <c r="A71" s="1132" t="s">
        <v>1133</v>
      </c>
      <c r="B71" s="1149" t="str">
        <f>B65</f>
        <v>FREDERICO-WESTFALEN__FW</v>
      </c>
      <c r="C71" s="1180" t="s">
        <v>9</v>
      </c>
      <c r="D71" s="1163">
        <v>200</v>
      </c>
      <c r="E71" s="1182"/>
      <c r="F71" s="1164">
        <v>1</v>
      </c>
      <c r="G71" s="1154">
        <v>6157.87</v>
      </c>
      <c r="H71" s="1184">
        <f t="shared" si="65"/>
        <v>6157.87</v>
      </c>
      <c r="I71" s="659"/>
      <c r="J71" s="1156">
        <f t="shared" si="55"/>
        <v>0</v>
      </c>
      <c r="K71" s="659"/>
      <c r="L71" s="1157">
        <f t="shared" si="54"/>
        <v>30</v>
      </c>
      <c r="M71" s="1158">
        <f t="shared" si="48"/>
        <v>0</v>
      </c>
      <c r="N71" s="1159">
        <f t="shared" si="49"/>
        <v>0</v>
      </c>
      <c r="O71" s="659"/>
      <c r="P71" s="1160">
        <f t="shared" si="50"/>
        <v>0</v>
      </c>
      <c r="Q71" s="1161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33" hidden="1" customHeight="1" outlineLevel="1">
      <c r="A72" s="1132" t="s">
        <v>1133</v>
      </c>
      <c r="B72" s="1149" t="str">
        <f t="shared" ref="B72:B74" si="66">B71</f>
        <v>FREDERICO-WESTFALEN__FW</v>
      </c>
      <c r="C72" s="1185" t="s">
        <v>1153</v>
      </c>
      <c r="D72" s="1163">
        <v>200</v>
      </c>
      <c r="E72" s="1182"/>
      <c r="F72" s="1164">
        <v>1</v>
      </c>
      <c r="G72" s="1154">
        <v>0</v>
      </c>
      <c r="H72" s="1165">
        <f>G72*F72</f>
        <v>0</v>
      </c>
      <c r="I72" s="647"/>
      <c r="J72" s="1156">
        <f t="shared" si="55"/>
        <v>0</v>
      </c>
      <c r="K72" s="647"/>
      <c r="L72" s="1157">
        <f t="shared" si="54"/>
        <v>30</v>
      </c>
      <c r="M72" s="1158">
        <f t="shared" si="48"/>
        <v>0</v>
      </c>
      <c r="N72" s="1159">
        <f t="shared" si="49"/>
        <v>0</v>
      </c>
      <c r="O72" s="647"/>
      <c r="P72" s="1160">
        <f t="shared" si="50"/>
        <v>0</v>
      </c>
      <c r="Q72" s="1166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33" hidden="1" customHeight="1" outlineLevel="1">
      <c r="A73" s="1132" t="s">
        <v>1133</v>
      </c>
      <c r="B73" s="1167" t="str">
        <f t="shared" si="66"/>
        <v>FREDERICO-WESTFALEN__FW</v>
      </c>
      <c r="C73" s="1168" t="s">
        <v>1154</v>
      </c>
      <c r="D73" s="1169">
        <v>200</v>
      </c>
      <c r="E73" s="661"/>
      <c r="F73" s="1170">
        <v>1</v>
      </c>
      <c r="G73" s="1171">
        <v>0</v>
      </c>
      <c r="H73" s="1155">
        <f>ROUND(G73*F73,2)</f>
        <v>0</v>
      </c>
      <c r="I73" s="1173">
        <f>SUMIF(E71:E73, "&gt;="&amp;1, H71:H73)</f>
        <v>0</v>
      </c>
      <c r="J73" s="1174">
        <f t="shared" si="55"/>
        <v>0</v>
      </c>
      <c r="K73" s="1173">
        <f>J71+J72+J73</f>
        <v>0</v>
      </c>
      <c r="L73" s="1175">
        <f t="shared" si="54"/>
        <v>30</v>
      </c>
      <c r="M73" s="1176">
        <f t="shared" si="48"/>
        <v>0</v>
      </c>
      <c r="N73" s="1177">
        <f t="shared" si="49"/>
        <v>0</v>
      </c>
      <c r="O73" s="1173">
        <f>IF(J71&gt;0, (N71+N72+N73)*1, 0)</f>
        <v>0</v>
      </c>
      <c r="P73" s="1178">
        <f t="shared" si="50"/>
        <v>0</v>
      </c>
      <c r="Q73" s="1179">
        <f>IF(M71&gt;0, (P71+P72+P73)*1, 0)</f>
        <v>0</v>
      </c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35.25" customHeight="1">
      <c r="A74" s="1186" t="s">
        <v>1155</v>
      </c>
      <c r="B74" s="1187" t="str">
        <f t="shared" si="66"/>
        <v>FREDERICO-WESTFALEN__FW</v>
      </c>
      <c r="C74" s="1188"/>
      <c r="D74" s="1199"/>
      <c r="E74" s="1189"/>
      <c r="F74" s="1200"/>
      <c r="G74" s="1191"/>
      <c r="H74" s="1192"/>
      <c r="I74" s="1193">
        <f t="shared" ref="I74:J74" si="67">SUM(I53:I73)</f>
        <v>29767.58</v>
      </c>
      <c r="J74" s="1193">
        <f t="shared" si="67"/>
        <v>40496.49</v>
      </c>
      <c r="K74" s="1193">
        <f>K55+K58+K61+K64+K67+K70+K73</f>
        <v>40496.49</v>
      </c>
      <c r="L74" s="1194"/>
      <c r="M74" s="1193"/>
      <c r="N74" s="1193">
        <f t="shared" ref="N74:Q74" si="68">SUM(N53:N73)</f>
        <v>485957.88</v>
      </c>
      <c r="O74" s="1193">
        <f t="shared" si="68"/>
        <v>485957.88</v>
      </c>
      <c r="P74" s="1193">
        <f t="shared" si="68"/>
        <v>1214894.7</v>
      </c>
      <c r="Q74" s="1193">
        <f t="shared" si="68"/>
        <v>1214894.7</v>
      </c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hidden="1" customHeight="1">
      <c r="A75" s="1132" t="s">
        <v>1133</v>
      </c>
      <c r="B75" s="582" t="s">
        <v>1133</v>
      </c>
      <c r="C75" s="1195"/>
      <c r="D75" s="13"/>
      <c r="E75" s="13"/>
      <c r="F75" s="13"/>
      <c r="G75" s="1197"/>
      <c r="H75" s="1155"/>
      <c r="I75" s="594" t="s">
        <v>1133</v>
      </c>
      <c r="J75" s="1198" t="s">
        <v>1133</v>
      </c>
      <c r="K75" s="594"/>
      <c r="L75" s="1157">
        <f t="shared" ref="L75:L76" si="69">L72</f>
        <v>30</v>
      </c>
      <c r="M75" s="13" t="s">
        <v>1133</v>
      </c>
      <c r="N75" s="592" t="s">
        <v>1133</v>
      </c>
      <c r="O75" s="594" t="s">
        <v>1133</v>
      </c>
      <c r="P75" s="13" t="s">
        <v>1133</v>
      </c>
      <c r="Q75" s="1198" t="s">
        <v>1133</v>
      </c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36.75" customHeight="1">
      <c r="A76" s="1132" t="s">
        <v>325</v>
      </c>
      <c r="B76" s="1149" t="str">
        <f>'CAMPUS.CONTRATANTE'!D13</f>
        <v>JAGUARI__JAG</v>
      </c>
      <c r="C76" s="1150" t="s">
        <v>3</v>
      </c>
      <c r="D76" s="1151">
        <v>200</v>
      </c>
      <c r="E76" s="1152">
        <v>1</v>
      </c>
      <c r="F76" s="1153">
        <v>1</v>
      </c>
      <c r="G76" s="1154">
        <v>7295.01</v>
      </c>
      <c r="H76" s="1155">
        <f>ROUND(G76*F76,2)</f>
        <v>7295.01</v>
      </c>
      <c r="I76" s="659"/>
      <c r="J76" s="1156">
        <f t="shared" ref="J76:J96" si="70">H76*E76</f>
        <v>7295.01</v>
      </c>
      <c r="K76" s="659"/>
      <c r="L76" s="1157">
        <f t="shared" si="69"/>
        <v>30</v>
      </c>
      <c r="M76" s="1158">
        <f t="shared" ref="M76:M96" si="71">L76*E76</f>
        <v>30</v>
      </c>
      <c r="N76" s="1159">
        <f t="shared" ref="N76:N96" si="72">J76*12</f>
        <v>87540.12</v>
      </c>
      <c r="O76" s="659"/>
      <c r="P76" s="1160">
        <f t="shared" ref="P76:P96" si="73">J76*L76</f>
        <v>218850.30000000002</v>
      </c>
      <c r="Q76" s="1161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36.75" customHeight="1">
      <c r="A77" s="1132" t="s">
        <v>1133</v>
      </c>
      <c r="B77" s="1149" t="str">
        <f t="shared" ref="B77:B90" si="74">B76</f>
        <v>JAGUARI__JAG</v>
      </c>
      <c r="C77" s="1162" t="s">
        <v>1141</v>
      </c>
      <c r="D77" s="1163">
        <v>200</v>
      </c>
      <c r="E77" s="1152">
        <v>1</v>
      </c>
      <c r="F77" s="1164">
        <v>1</v>
      </c>
      <c r="G77" s="1154">
        <v>0</v>
      </c>
      <c r="H77" s="1165">
        <f>G77*F77</f>
        <v>0</v>
      </c>
      <c r="I77" s="647"/>
      <c r="J77" s="1156">
        <f t="shared" si="70"/>
        <v>0</v>
      </c>
      <c r="K77" s="647"/>
      <c r="L77" s="1157">
        <f>L76</f>
        <v>30</v>
      </c>
      <c r="M77" s="1158">
        <f t="shared" si="71"/>
        <v>30</v>
      </c>
      <c r="N77" s="1159">
        <f t="shared" si="72"/>
        <v>0</v>
      </c>
      <c r="O77" s="647"/>
      <c r="P77" s="1160">
        <f t="shared" si="73"/>
        <v>0</v>
      </c>
      <c r="Q77" s="1166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36.75" customHeight="1">
      <c r="A78" s="1132" t="s">
        <v>1133</v>
      </c>
      <c r="B78" s="1167" t="str">
        <f t="shared" si="74"/>
        <v>JAGUARI__JAG</v>
      </c>
      <c r="C78" s="1168" t="s">
        <v>1142</v>
      </c>
      <c r="D78" s="1169">
        <v>200</v>
      </c>
      <c r="E78" s="661">
        <v>1</v>
      </c>
      <c r="F78" s="1170">
        <v>1</v>
      </c>
      <c r="G78" s="1171">
        <v>259.5</v>
      </c>
      <c r="H78" s="1172">
        <f t="shared" ref="H78:H79" si="75">ROUND(G78*F78,2)</f>
        <v>259.5</v>
      </c>
      <c r="I78" s="1173">
        <f>SUMIF(E76:E78, "&gt;="&amp;1, H76:H78)</f>
        <v>7554.51</v>
      </c>
      <c r="J78" s="1174">
        <f t="shared" si="70"/>
        <v>259.5</v>
      </c>
      <c r="K78" s="1173">
        <f>J76+J77+J78</f>
        <v>7554.51</v>
      </c>
      <c r="L78" s="1175">
        <f t="shared" ref="L78:L96" si="76">L75</f>
        <v>30</v>
      </c>
      <c r="M78" s="1176">
        <f t="shared" si="71"/>
        <v>30</v>
      </c>
      <c r="N78" s="1177">
        <f t="shared" si="72"/>
        <v>3114</v>
      </c>
      <c r="O78" s="1173">
        <f>IF(J76&gt;0, (N76+N77+N78)*1, 0)</f>
        <v>90654.12</v>
      </c>
      <c r="P78" s="1178">
        <f t="shared" si="73"/>
        <v>7785</v>
      </c>
      <c r="Q78" s="1179">
        <f>IF(M76&gt;0, (P76+P77+P78)*1, 0)</f>
        <v>226635.30000000002</v>
      </c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36.75" hidden="1" customHeight="1">
      <c r="A79" s="1132" t="s">
        <v>1133</v>
      </c>
      <c r="B79" s="1149" t="str">
        <f t="shared" si="74"/>
        <v>JAGUARI__JAG</v>
      </c>
      <c r="C79" s="1180" t="s">
        <v>4</v>
      </c>
      <c r="D79" s="1181">
        <v>100</v>
      </c>
      <c r="E79" s="1182"/>
      <c r="F79" s="1164">
        <v>1</v>
      </c>
      <c r="G79" s="1183">
        <v>4697.97</v>
      </c>
      <c r="H79" s="1184">
        <f t="shared" si="75"/>
        <v>4697.97</v>
      </c>
      <c r="I79" s="659"/>
      <c r="J79" s="1156">
        <f t="shared" si="70"/>
        <v>0</v>
      </c>
      <c r="K79" s="659"/>
      <c r="L79" s="1157">
        <f t="shared" si="76"/>
        <v>30</v>
      </c>
      <c r="M79" s="1158">
        <f t="shared" si="71"/>
        <v>0</v>
      </c>
      <c r="N79" s="1159">
        <f t="shared" si="72"/>
        <v>0</v>
      </c>
      <c r="O79" s="659"/>
      <c r="P79" s="1160">
        <f t="shared" si="73"/>
        <v>0</v>
      </c>
      <c r="Q79" s="1161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36.75" hidden="1" customHeight="1">
      <c r="A80" s="1132" t="s">
        <v>1133</v>
      </c>
      <c r="B80" s="1149" t="str">
        <f t="shared" si="74"/>
        <v>JAGUARI__JAG</v>
      </c>
      <c r="C80" s="1185" t="s">
        <v>1143</v>
      </c>
      <c r="D80" s="1163">
        <v>100</v>
      </c>
      <c r="E80" s="1182"/>
      <c r="F80" s="1164">
        <v>1</v>
      </c>
      <c r="G80" s="1183">
        <v>0</v>
      </c>
      <c r="H80" s="1165">
        <f>G80*F80</f>
        <v>0</v>
      </c>
      <c r="I80" s="647"/>
      <c r="J80" s="1156">
        <f t="shared" si="70"/>
        <v>0</v>
      </c>
      <c r="K80" s="647"/>
      <c r="L80" s="1157">
        <f t="shared" si="76"/>
        <v>30</v>
      </c>
      <c r="M80" s="1158">
        <f t="shared" si="71"/>
        <v>0</v>
      </c>
      <c r="N80" s="1159">
        <f t="shared" si="72"/>
        <v>0</v>
      </c>
      <c r="O80" s="647"/>
      <c r="P80" s="1160">
        <f t="shared" si="73"/>
        <v>0</v>
      </c>
      <c r="Q80" s="1166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36.75" hidden="1" customHeight="1">
      <c r="A81" s="1132" t="s">
        <v>1133</v>
      </c>
      <c r="B81" s="1167" t="str">
        <f t="shared" si="74"/>
        <v>JAGUARI__JAG</v>
      </c>
      <c r="C81" s="1168" t="s">
        <v>1144</v>
      </c>
      <c r="D81" s="1169">
        <v>100</v>
      </c>
      <c r="E81" s="661"/>
      <c r="F81" s="1170">
        <v>1</v>
      </c>
      <c r="G81" s="1171">
        <v>0</v>
      </c>
      <c r="H81" s="1172">
        <f t="shared" ref="H81:H82" si="77">ROUND(G81*F81,2)</f>
        <v>0</v>
      </c>
      <c r="I81" s="1173">
        <f>SUMIF(E79:E81, "&gt;="&amp;1, H79:H81)</f>
        <v>0</v>
      </c>
      <c r="J81" s="1174">
        <f t="shared" si="70"/>
        <v>0</v>
      </c>
      <c r="K81" s="1173">
        <f>J79+J80+J81</f>
        <v>0</v>
      </c>
      <c r="L81" s="1175">
        <f t="shared" si="76"/>
        <v>30</v>
      </c>
      <c r="M81" s="1176">
        <f t="shared" si="71"/>
        <v>0</v>
      </c>
      <c r="N81" s="1177">
        <f t="shared" si="72"/>
        <v>0</v>
      </c>
      <c r="O81" s="1173">
        <f>IF(J79&gt;0, (N79+N80+N81)*1, 0)</f>
        <v>0</v>
      </c>
      <c r="P81" s="1178">
        <f t="shared" si="73"/>
        <v>0</v>
      </c>
      <c r="Q81" s="1179">
        <f>IF(M79&gt;0, (P79+P80+P81)*1, 0)</f>
        <v>0</v>
      </c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36.75" customHeight="1">
      <c r="A82" s="1132" t="s">
        <v>1133</v>
      </c>
      <c r="B82" s="1149" t="str">
        <f t="shared" si="74"/>
        <v>JAGUARI__JAG</v>
      </c>
      <c r="C82" s="1180" t="s">
        <v>5</v>
      </c>
      <c r="D82" s="1181">
        <v>200</v>
      </c>
      <c r="E82" s="1182">
        <v>1</v>
      </c>
      <c r="F82" s="1164">
        <v>1</v>
      </c>
      <c r="G82" s="1183">
        <v>6849.92</v>
      </c>
      <c r="H82" s="1184">
        <f t="shared" si="77"/>
        <v>6849.92</v>
      </c>
      <c r="I82" s="659"/>
      <c r="J82" s="1156">
        <f t="shared" si="70"/>
        <v>6849.92</v>
      </c>
      <c r="K82" s="659"/>
      <c r="L82" s="1157">
        <f t="shared" si="76"/>
        <v>30</v>
      </c>
      <c r="M82" s="1158">
        <f t="shared" si="71"/>
        <v>30</v>
      </c>
      <c r="N82" s="1159">
        <f t="shared" si="72"/>
        <v>82199.040000000008</v>
      </c>
      <c r="O82" s="659"/>
      <c r="P82" s="1160">
        <f t="shared" si="73"/>
        <v>205497.60000000001</v>
      </c>
      <c r="Q82" s="1161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36.75" customHeight="1">
      <c r="A83" s="1132" t="s">
        <v>1133</v>
      </c>
      <c r="B83" s="1149" t="str">
        <f t="shared" si="74"/>
        <v>JAGUARI__JAG</v>
      </c>
      <c r="C83" s="1185" t="s">
        <v>1145</v>
      </c>
      <c r="D83" s="1163">
        <v>200</v>
      </c>
      <c r="E83" s="1182">
        <v>1</v>
      </c>
      <c r="F83" s="1164">
        <v>1</v>
      </c>
      <c r="G83" s="1183">
        <v>0</v>
      </c>
      <c r="H83" s="1165">
        <f>G83*F83</f>
        <v>0</v>
      </c>
      <c r="I83" s="647"/>
      <c r="J83" s="1156">
        <f t="shared" si="70"/>
        <v>0</v>
      </c>
      <c r="K83" s="647"/>
      <c r="L83" s="1157">
        <f t="shared" si="76"/>
        <v>30</v>
      </c>
      <c r="M83" s="1158">
        <f t="shared" si="71"/>
        <v>30</v>
      </c>
      <c r="N83" s="1159">
        <f t="shared" si="72"/>
        <v>0</v>
      </c>
      <c r="O83" s="647"/>
      <c r="P83" s="1160">
        <f t="shared" si="73"/>
        <v>0</v>
      </c>
      <c r="Q83" s="1166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36.75" customHeight="1">
      <c r="A84" s="1132" t="s">
        <v>1133</v>
      </c>
      <c r="B84" s="1167" t="str">
        <f t="shared" si="74"/>
        <v>JAGUARI__JAG</v>
      </c>
      <c r="C84" s="1168" t="s">
        <v>1146</v>
      </c>
      <c r="D84" s="1169">
        <v>200</v>
      </c>
      <c r="E84" s="661">
        <v>1</v>
      </c>
      <c r="F84" s="1170">
        <v>1</v>
      </c>
      <c r="G84" s="1171">
        <v>259.5</v>
      </c>
      <c r="H84" s="1172">
        <f t="shared" ref="H84:H85" si="78">ROUND(G84*F84,2)</f>
        <v>259.5</v>
      </c>
      <c r="I84" s="1173">
        <f>SUMIF(E82:E84, "&gt;="&amp;1, H82:H84)</f>
        <v>7109.42</v>
      </c>
      <c r="J84" s="1174">
        <f t="shared" si="70"/>
        <v>259.5</v>
      </c>
      <c r="K84" s="1173">
        <f>J82+J83+J84</f>
        <v>7109.42</v>
      </c>
      <c r="L84" s="1175">
        <f t="shared" si="76"/>
        <v>30</v>
      </c>
      <c r="M84" s="1176">
        <f t="shared" si="71"/>
        <v>30</v>
      </c>
      <c r="N84" s="1177">
        <f t="shared" si="72"/>
        <v>3114</v>
      </c>
      <c r="O84" s="1173">
        <f>IF(J82&gt;0, (N82+N83+N84)*1, 0)</f>
        <v>85313.040000000008</v>
      </c>
      <c r="P84" s="1178">
        <f t="shared" si="73"/>
        <v>7785</v>
      </c>
      <c r="Q84" s="1179">
        <f>IF(M82&gt;0, (P82+P83+P84)*1, 0)</f>
        <v>213282.6</v>
      </c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36.75" hidden="1" customHeight="1" outlineLevel="1">
      <c r="A85" s="1132" t="s">
        <v>1133</v>
      </c>
      <c r="B85" s="1149" t="str">
        <f t="shared" si="74"/>
        <v>JAGUARI__JAG</v>
      </c>
      <c r="C85" s="1180" t="s">
        <v>6</v>
      </c>
      <c r="D85" s="1163">
        <v>100</v>
      </c>
      <c r="E85" s="1182"/>
      <c r="F85" s="1164">
        <v>1</v>
      </c>
      <c r="G85" s="1154">
        <v>4146.1499999999996</v>
      </c>
      <c r="H85" s="1184">
        <f t="shared" si="78"/>
        <v>4146.1499999999996</v>
      </c>
      <c r="I85" s="659"/>
      <c r="J85" s="1156">
        <f t="shared" si="70"/>
        <v>0</v>
      </c>
      <c r="K85" s="659"/>
      <c r="L85" s="1157">
        <f t="shared" si="76"/>
        <v>30</v>
      </c>
      <c r="M85" s="1158">
        <f t="shared" si="71"/>
        <v>0</v>
      </c>
      <c r="N85" s="1159">
        <f t="shared" si="72"/>
        <v>0</v>
      </c>
      <c r="O85" s="659"/>
      <c r="P85" s="1160">
        <f t="shared" si="73"/>
        <v>0</v>
      </c>
      <c r="Q85" s="1161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36.75" hidden="1" customHeight="1" outlineLevel="1">
      <c r="A86" s="1132" t="s">
        <v>1133</v>
      </c>
      <c r="B86" s="1149" t="str">
        <f t="shared" si="74"/>
        <v>JAGUARI__JAG</v>
      </c>
      <c r="C86" s="1185" t="s">
        <v>1147</v>
      </c>
      <c r="D86" s="1163">
        <v>200</v>
      </c>
      <c r="E86" s="1182"/>
      <c r="F86" s="1164">
        <v>1</v>
      </c>
      <c r="G86" s="1154">
        <v>0</v>
      </c>
      <c r="H86" s="1165">
        <f>G86*F86</f>
        <v>0</v>
      </c>
      <c r="I86" s="647"/>
      <c r="J86" s="1156">
        <f t="shared" si="70"/>
        <v>0</v>
      </c>
      <c r="K86" s="647"/>
      <c r="L86" s="1157">
        <f t="shared" si="76"/>
        <v>30</v>
      </c>
      <c r="M86" s="1158">
        <f t="shared" si="71"/>
        <v>0</v>
      </c>
      <c r="N86" s="1159">
        <f t="shared" si="72"/>
        <v>0</v>
      </c>
      <c r="O86" s="647"/>
      <c r="P86" s="1160">
        <f t="shared" si="73"/>
        <v>0</v>
      </c>
      <c r="Q86" s="1166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36.75" hidden="1" customHeight="1" outlineLevel="1">
      <c r="A87" s="1132" t="s">
        <v>1133</v>
      </c>
      <c r="B87" s="1167" t="str">
        <f t="shared" si="74"/>
        <v>JAGUARI__JAG</v>
      </c>
      <c r="C87" s="1168" t="s">
        <v>1148</v>
      </c>
      <c r="D87" s="1169">
        <v>100</v>
      </c>
      <c r="E87" s="661"/>
      <c r="F87" s="1170">
        <v>1</v>
      </c>
      <c r="G87" s="1171">
        <v>0</v>
      </c>
      <c r="H87" s="1172">
        <f t="shared" ref="H87:H88" si="79">ROUND(G87*F87,2)</f>
        <v>0</v>
      </c>
      <c r="I87" s="1173">
        <f>SUMIF(E85:E87, "&gt;="&amp;1, H85:H87)</f>
        <v>0</v>
      </c>
      <c r="J87" s="1174">
        <f t="shared" si="70"/>
        <v>0</v>
      </c>
      <c r="K87" s="1173">
        <f>J85+J86+J87</f>
        <v>0</v>
      </c>
      <c r="L87" s="1175">
        <f t="shared" si="76"/>
        <v>30</v>
      </c>
      <c r="M87" s="1176">
        <f t="shared" si="71"/>
        <v>0</v>
      </c>
      <c r="N87" s="1177">
        <f t="shared" si="72"/>
        <v>0</v>
      </c>
      <c r="O87" s="1173">
        <f>IF(J85&gt;0, (N85+N86+N87)*1, 0)</f>
        <v>0</v>
      </c>
      <c r="P87" s="1178">
        <f t="shared" si="73"/>
        <v>0</v>
      </c>
      <c r="Q87" s="1179">
        <f>IF(M85&gt;0, (P85+P86+P87)*1, 0)</f>
        <v>0</v>
      </c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36.75" customHeight="1" outlineLevel="1">
      <c r="A88" s="1132" t="s">
        <v>1133</v>
      </c>
      <c r="B88" s="1149" t="str">
        <f t="shared" si="74"/>
        <v>JAGUARI__JAG</v>
      </c>
      <c r="C88" s="1180" t="s">
        <v>7</v>
      </c>
      <c r="D88" s="1163">
        <v>200</v>
      </c>
      <c r="E88" s="1182">
        <v>1</v>
      </c>
      <c r="F88" s="1164">
        <v>1</v>
      </c>
      <c r="G88" s="1154">
        <v>12855.32</v>
      </c>
      <c r="H88" s="1184">
        <f t="shared" si="79"/>
        <v>12855.32</v>
      </c>
      <c r="I88" s="659"/>
      <c r="J88" s="1156">
        <f t="shared" si="70"/>
        <v>12855.32</v>
      </c>
      <c r="K88" s="659"/>
      <c r="L88" s="1157">
        <f t="shared" si="76"/>
        <v>30</v>
      </c>
      <c r="M88" s="1158">
        <f t="shared" si="71"/>
        <v>30</v>
      </c>
      <c r="N88" s="1159">
        <f t="shared" si="72"/>
        <v>154263.84</v>
      </c>
      <c r="O88" s="659"/>
      <c r="P88" s="1160">
        <f t="shared" si="73"/>
        <v>385659.6</v>
      </c>
      <c r="Q88" s="1161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36.75" customHeight="1" outlineLevel="1">
      <c r="A89" s="1132" t="s">
        <v>1133</v>
      </c>
      <c r="B89" s="1149" t="str">
        <f t="shared" si="74"/>
        <v>JAGUARI__JAG</v>
      </c>
      <c r="C89" s="1185" t="s">
        <v>1149</v>
      </c>
      <c r="D89" s="1163">
        <v>200</v>
      </c>
      <c r="E89" s="1182">
        <v>1</v>
      </c>
      <c r="F89" s="1164">
        <v>1</v>
      </c>
      <c r="G89" s="1154">
        <v>0</v>
      </c>
      <c r="H89" s="1165">
        <f>G89*F89</f>
        <v>0</v>
      </c>
      <c r="I89" s="647"/>
      <c r="J89" s="1156">
        <f t="shared" si="70"/>
        <v>0</v>
      </c>
      <c r="K89" s="647"/>
      <c r="L89" s="1157">
        <f t="shared" si="76"/>
        <v>30</v>
      </c>
      <c r="M89" s="1158">
        <f t="shared" si="71"/>
        <v>30</v>
      </c>
      <c r="N89" s="1159">
        <f t="shared" si="72"/>
        <v>0</v>
      </c>
      <c r="O89" s="647"/>
      <c r="P89" s="1160">
        <f t="shared" si="73"/>
        <v>0</v>
      </c>
      <c r="Q89" s="1166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36.75" customHeight="1" outlineLevel="1">
      <c r="A90" s="1132" t="s">
        <v>1133</v>
      </c>
      <c r="B90" s="1167" t="str">
        <f t="shared" si="74"/>
        <v>JAGUARI__JAG</v>
      </c>
      <c r="C90" s="1168" t="s">
        <v>1150</v>
      </c>
      <c r="D90" s="1169">
        <v>200</v>
      </c>
      <c r="E90" s="661">
        <v>1</v>
      </c>
      <c r="F90" s="1170">
        <v>1</v>
      </c>
      <c r="G90" s="1171">
        <v>259.5</v>
      </c>
      <c r="H90" s="1172">
        <f t="shared" ref="H90:H91" si="80">ROUND(G90*F90,2)</f>
        <v>259.5</v>
      </c>
      <c r="I90" s="1173">
        <f>SUMIF(E88:E90, "&gt;="&amp;1, H88:H90)</f>
        <v>13114.82</v>
      </c>
      <c r="J90" s="1174">
        <f t="shared" si="70"/>
        <v>259.5</v>
      </c>
      <c r="K90" s="1173">
        <f>J88+J89+J90</f>
        <v>13114.82</v>
      </c>
      <c r="L90" s="1175">
        <f t="shared" si="76"/>
        <v>30</v>
      </c>
      <c r="M90" s="1176">
        <f t="shared" si="71"/>
        <v>30</v>
      </c>
      <c r="N90" s="1177">
        <f t="shared" si="72"/>
        <v>3114</v>
      </c>
      <c r="O90" s="1173">
        <f>IF(J88&gt;0, (N88+N89+N90)*1, 0)</f>
        <v>157377.84</v>
      </c>
      <c r="P90" s="1178">
        <f t="shared" si="73"/>
        <v>7785</v>
      </c>
      <c r="Q90" s="1179">
        <f>IF(M88&gt;0, (P88+P89+P90)*1, 0)</f>
        <v>393444.6</v>
      </c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36.75" hidden="1" customHeight="1" outlineLevel="1">
      <c r="A91" s="1132" t="s">
        <v>1133</v>
      </c>
      <c r="B91" s="1149" t="str">
        <f>B87</f>
        <v>JAGUARI__JAG</v>
      </c>
      <c r="C91" s="1180" t="s">
        <v>8</v>
      </c>
      <c r="D91" s="1163">
        <v>100</v>
      </c>
      <c r="E91" s="1182"/>
      <c r="F91" s="1164">
        <v>1</v>
      </c>
      <c r="G91" s="1154">
        <v>7262.78</v>
      </c>
      <c r="H91" s="1184">
        <f t="shared" si="80"/>
        <v>7262.78</v>
      </c>
      <c r="I91" s="659"/>
      <c r="J91" s="1156">
        <f t="shared" si="70"/>
        <v>0</v>
      </c>
      <c r="K91" s="659"/>
      <c r="L91" s="1157">
        <f t="shared" si="76"/>
        <v>30</v>
      </c>
      <c r="M91" s="1158">
        <f t="shared" si="71"/>
        <v>0</v>
      </c>
      <c r="N91" s="1159">
        <f t="shared" si="72"/>
        <v>0</v>
      </c>
      <c r="O91" s="659"/>
      <c r="P91" s="1160">
        <f t="shared" si="73"/>
        <v>0</v>
      </c>
      <c r="Q91" s="1161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36.75" hidden="1" customHeight="1" outlineLevel="1">
      <c r="A92" s="1132" t="s">
        <v>1133</v>
      </c>
      <c r="B92" s="1149" t="str">
        <f t="shared" ref="B92:B97" si="81">B91</f>
        <v>JAGUARI__JAG</v>
      </c>
      <c r="C92" s="1185" t="s">
        <v>1151</v>
      </c>
      <c r="D92" s="1163">
        <v>100</v>
      </c>
      <c r="E92" s="1182"/>
      <c r="F92" s="1164">
        <v>1</v>
      </c>
      <c r="G92" s="1154">
        <v>0</v>
      </c>
      <c r="H92" s="1165">
        <f>G92*F92</f>
        <v>0</v>
      </c>
      <c r="I92" s="647"/>
      <c r="J92" s="1156">
        <f t="shared" si="70"/>
        <v>0</v>
      </c>
      <c r="K92" s="647"/>
      <c r="L92" s="1157">
        <f t="shared" si="76"/>
        <v>30</v>
      </c>
      <c r="M92" s="1158">
        <f t="shared" si="71"/>
        <v>0</v>
      </c>
      <c r="N92" s="1159">
        <f t="shared" si="72"/>
        <v>0</v>
      </c>
      <c r="O92" s="647"/>
      <c r="P92" s="1160">
        <f t="shared" si="73"/>
        <v>0</v>
      </c>
      <c r="Q92" s="1166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36.75" hidden="1" customHeight="1" outlineLevel="1">
      <c r="A93" s="1132" t="s">
        <v>1133</v>
      </c>
      <c r="B93" s="1167" t="str">
        <f t="shared" si="81"/>
        <v>JAGUARI__JAG</v>
      </c>
      <c r="C93" s="1168" t="s">
        <v>1152</v>
      </c>
      <c r="D93" s="1169">
        <v>100</v>
      </c>
      <c r="E93" s="661"/>
      <c r="F93" s="1170">
        <v>1</v>
      </c>
      <c r="G93" s="1171">
        <v>0</v>
      </c>
      <c r="H93" s="1172">
        <f t="shared" ref="H93:H94" si="82">ROUND(G93*F93,2)</f>
        <v>0</v>
      </c>
      <c r="I93" s="1173">
        <f>SUMIF(E91:E93, "&gt;="&amp;1, H91:H93)</f>
        <v>0</v>
      </c>
      <c r="J93" s="1174">
        <f t="shared" si="70"/>
        <v>0</v>
      </c>
      <c r="K93" s="1173">
        <f>J91+J92+J93</f>
        <v>0</v>
      </c>
      <c r="L93" s="1175">
        <f t="shared" si="76"/>
        <v>30</v>
      </c>
      <c r="M93" s="1176">
        <f t="shared" si="71"/>
        <v>0</v>
      </c>
      <c r="N93" s="1177">
        <f t="shared" si="72"/>
        <v>0</v>
      </c>
      <c r="O93" s="1173">
        <f>IF(J91&gt;0, (N91+N92+N93)*1, 0)</f>
        <v>0</v>
      </c>
      <c r="P93" s="1178">
        <f t="shared" si="73"/>
        <v>0</v>
      </c>
      <c r="Q93" s="1179">
        <f>IF(M91&gt;0, (P91+P92+P93)*1, 0)</f>
        <v>0</v>
      </c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36.75" customHeight="1" outlineLevel="1">
      <c r="A94" s="1132" t="s">
        <v>1133</v>
      </c>
      <c r="B94" s="1149" t="str">
        <f t="shared" si="81"/>
        <v>JAGUARI__JAG</v>
      </c>
      <c r="C94" s="1180" t="s">
        <v>9</v>
      </c>
      <c r="D94" s="1163">
        <v>200</v>
      </c>
      <c r="E94" s="1182">
        <v>1</v>
      </c>
      <c r="F94" s="1164">
        <v>1</v>
      </c>
      <c r="G94" s="1154">
        <v>6516.3899999999994</v>
      </c>
      <c r="H94" s="1184">
        <f t="shared" si="82"/>
        <v>6516.39</v>
      </c>
      <c r="I94" s="659"/>
      <c r="J94" s="1156">
        <f t="shared" si="70"/>
        <v>6516.39</v>
      </c>
      <c r="K94" s="659"/>
      <c r="L94" s="1157">
        <f t="shared" si="76"/>
        <v>30</v>
      </c>
      <c r="M94" s="1158">
        <f t="shared" si="71"/>
        <v>30</v>
      </c>
      <c r="N94" s="1159">
        <f t="shared" si="72"/>
        <v>78196.680000000008</v>
      </c>
      <c r="O94" s="659"/>
      <c r="P94" s="1160">
        <f t="shared" si="73"/>
        <v>195491.7</v>
      </c>
      <c r="Q94" s="1161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36.75" customHeight="1" outlineLevel="1">
      <c r="A95" s="1132" t="s">
        <v>1133</v>
      </c>
      <c r="B95" s="1149" t="str">
        <f t="shared" si="81"/>
        <v>JAGUARI__JAG</v>
      </c>
      <c r="C95" s="1185" t="s">
        <v>1153</v>
      </c>
      <c r="D95" s="1163">
        <v>200</v>
      </c>
      <c r="E95" s="1182">
        <v>1</v>
      </c>
      <c r="F95" s="1164">
        <v>1</v>
      </c>
      <c r="G95" s="1154">
        <v>0</v>
      </c>
      <c r="H95" s="1165">
        <f>G95*F95</f>
        <v>0</v>
      </c>
      <c r="I95" s="647"/>
      <c r="J95" s="1156">
        <f t="shared" si="70"/>
        <v>0</v>
      </c>
      <c r="K95" s="647"/>
      <c r="L95" s="1157">
        <f t="shared" si="76"/>
        <v>30</v>
      </c>
      <c r="M95" s="1158">
        <f t="shared" si="71"/>
        <v>30</v>
      </c>
      <c r="N95" s="1159">
        <f t="shared" si="72"/>
        <v>0</v>
      </c>
      <c r="O95" s="647"/>
      <c r="P95" s="1160">
        <f t="shared" si="73"/>
        <v>0</v>
      </c>
      <c r="Q95" s="1166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36.75" customHeight="1" outlineLevel="1">
      <c r="A96" s="1132" t="s">
        <v>1133</v>
      </c>
      <c r="B96" s="1167" t="str">
        <f t="shared" si="81"/>
        <v>JAGUARI__JAG</v>
      </c>
      <c r="C96" s="1168" t="s">
        <v>1154</v>
      </c>
      <c r="D96" s="1169">
        <v>200</v>
      </c>
      <c r="E96" s="661">
        <v>1</v>
      </c>
      <c r="F96" s="1170">
        <v>1</v>
      </c>
      <c r="G96" s="1171">
        <v>0</v>
      </c>
      <c r="H96" s="1155">
        <f>ROUND(G96*F96,2)</f>
        <v>0</v>
      </c>
      <c r="I96" s="1173">
        <f>SUMIF(E94:E96, "&gt;="&amp;1, H94:H96)</f>
        <v>6516.39</v>
      </c>
      <c r="J96" s="1174">
        <f t="shared" si="70"/>
        <v>0</v>
      </c>
      <c r="K96" s="1173">
        <f>J94+J95+J96</f>
        <v>6516.39</v>
      </c>
      <c r="L96" s="1175">
        <f t="shared" si="76"/>
        <v>30</v>
      </c>
      <c r="M96" s="1176">
        <f t="shared" si="71"/>
        <v>30</v>
      </c>
      <c r="N96" s="1177">
        <f t="shared" si="72"/>
        <v>0</v>
      </c>
      <c r="O96" s="1173">
        <f>IF(J94&gt;0, (N94+N95+N96)*1, 0)</f>
        <v>78196.680000000008</v>
      </c>
      <c r="P96" s="1178">
        <f t="shared" si="73"/>
        <v>0</v>
      </c>
      <c r="Q96" s="1179">
        <f>IF(M94&gt;0, (P94+P95+P96)*1, 0)</f>
        <v>195491.7</v>
      </c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35.25" customHeight="1">
      <c r="A97" s="1186" t="s">
        <v>1155</v>
      </c>
      <c r="B97" s="1187" t="str">
        <f t="shared" si="81"/>
        <v>JAGUARI__JAG</v>
      </c>
      <c r="C97" s="1188"/>
      <c r="D97" s="1199"/>
      <c r="E97" s="1189"/>
      <c r="F97" s="1200"/>
      <c r="G97" s="1191"/>
      <c r="H97" s="1192"/>
      <c r="I97" s="1193">
        <f t="shared" ref="I97:J97" si="83">SUM(I76:I96)</f>
        <v>34295.14</v>
      </c>
      <c r="J97" s="1193">
        <f t="shared" si="83"/>
        <v>34295.14</v>
      </c>
      <c r="K97" s="1193">
        <f>K78+K81+K84+K87+K90+K93+K96</f>
        <v>34295.14</v>
      </c>
      <c r="L97" s="1194"/>
      <c r="M97" s="1193"/>
      <c r="N97" s="1193">
        <f t="shared" ref="N97:Q97" si="84">SUM(N76:N96)</f>
        <v>411541.68</v>
      </c>
      <c r="O97" s="1193">
        <f t="shared" si="84"/>
        <v>411541.68</v>
      </c>
      <c r="P97" s="1193">
        <f t="shared" si="84"/>
        <v>1028854.2</v>
      </c>
      <c r="Q97" s="1193">
        <f t="shared" si="84"/>
        <v>1028854.2</v>
      </c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hidden="1" customHeight="1">
      <c r="A98" s="1132" t="s">
        <v>1133</v>
      </c>
      <c r="B98" s="582" t="s">
        <v>1133</v>
      </c>
      <c r="C98" s="1195"/>
      <c r="D98" s="13"/>
      <c r="E98" s="13"/>
      <c r="F98" s="13"/>
      <c r="G98" s="1197"/>
      <c r="H98" s="1155"/>
      <c r="I98" s="594" t="s">
        <v>1133</v>
      </c>
      <c r="J98" s="1198" t="s">
        <v>1133</v>
      </c>
      <c r="K98" s="594"/>
      <c r="L98" s="1157">
        <f t="shared" ref="L98:L102" si="85">L95</f>
        <v>30</v>
      </c>
      <c r="M98" s="13" t="s">
        <v>1133</v>
      </c>
      <c r="N98" s="592" t="s">
        <v>1133</v>
      </c>
      <c r="O98" s="594" t="s">
        <v>1133</v>
      </c>
      <c r="P98" s="13" t="s">
        <v>1133</v>
      </c>
      <c r="Q98" s="1198" t="s">
        <v>1133</v>
      </c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36.75" hidden="1" customHeight="1">
      <c r="A99" s="1132" t="s">
        <v>325</v>
      </c>
      <c r="B99" s="1149" t="str">
        <f>'CAMPUS.CONTRATANTE'!D14</f>
        <v xml:space="preserve">JULIO-DE-CASTILHOS__JC </v>
      </c>
      <c r="C99" s="1150" t="s">
        <v>3</v>
      </c>
      <c r="D99" s="1151">
        <v>200</v>
      </c>
      <c r="E99" s="1152"/>
      <c r="F99" s="1153">
        <v>1</v>
      </c>
      <c r="G99" s="1154">
        <v>6986.17</v>
      </c>
      <c r="H99" s="1155">
        <f>ROUND(G99*F99,2)</f>
        <v>6986.17</v>
      </c>
      <c r="I99" s="659"/>
      <c r="J99" s="1156">
        <f t="shared" ref="J99:J119" si="86">H99*E99</f>
        <v>0</v>
      </c>
      <c r="K99" s="659"/>
      <c r="L99" s="1157">
        <f t="shared" si="85"/>
        <v>30</v>
      </c>
      <c r="M99" s="1158">
        <f t="shared" ref="M99:M119" si="87">L99*E99</f>
        <v>0</v>
      </c>
      <c r="N99" s="1159">
        <f t="shared" ref="N99:N119" si="88">J99*12</f>
        <v>0</v>
      </c>
      <c r="O99" s="659"/>
      <c r="P99" s="1160">
        <f t="shared" ref="P99:P119" si="89">J99*L99</f>
        <v>0</v>
      </c>
      <c r="Q99" s="1161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36.75" hidden="1" customHeight="1">
      <c r="A100" s="1132" t="s">
        <v>1133</v>
      </c>
      <c r="B100" s="1149" t="str">
        <f t="shared" ref="B100:B101" si="90">B99</f>
        <v xml:space="preserve">JULIO-DE-CASTILHOS__JC </v>
      </c>
      <c r="C100" s="1162" t="s">
        <v>1141</v>
      </c>
      <c r="D100" s="1163">
        <v>200</v>
      </c>
      <c r="E100" s="1152"/>
      <c r="F100" s="1164">
        <v>1</v>
      </c>
      <c r="G100" s="1154">
        <v>0</v>
      </c>
      <c r="H100" s="1165">
        <f>G100*F100</f>
        <v>0</v>
      </c>
      <c r="I100" s="647"/>
      <c r="J100" s="1156">
        <f t="shared" si="86"/>
        <v>0</v>
      </c>
      <c r="K100" s="647"/>
      <c r="L100" s="1157">
        <f t="shared" si="85"/>
        <v>0</v>
      </c>
      <c r="M100" s="1158">
        <f t="shared" si="87"/>
        <v>0</v>
      </c>
      <c r="N100" s="1159">
        <f t="shared" si="88"/>
        <v>0</v>
      </c>
      <c r="O100" s="647"/>
      <c r="P100" s="1160">
        <f t="shared" si="89"/>
        <v>0</v>
      </c>
      <c r="Q100" s="1166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36.75" hidden="1" customHeight="1">
      <c r="A101" s="1132" t="s">
        <v>1133</v>
      </c>
      <c r="B101" s="1167" t="str">
        <f t="shared" si="90"/>
        <v xml:space="preserve">JULIO-DE-CASTILHOS__JC </v>
      </c>
      <c r="C101" s="1168" t="s">
        <v>1142</v>
      </c>
      <c r="D101" s="1169">
        <v>200</v>
      </c>
      <c r="E101" s="661"/>
      <c r="F101" s="1170">
        <v>1</v>
      </c>
      <c r="G101" s="1171">
        <v>219.87</v>
      </c>
      <c r="H101" s="1172">
        <f t="shared" ref="H101:H102" si="91">ROUND(G101*F101,2)</f>
        <v>219.87</v>
      </c>
      <c r="I101" s="1173">
        <f>SUMIF(E99:E101, "&gt;="&amp;1, H99:H101)</f>
        <v>0</v>
      </c>
      <c r="J101" s="1174">
        <f t="shared" si="86"/>
        <v>0</v>
      </c>
      <c r="K101" s="1173">
        <f>J99+J100+J101</f>
        <v>0</v>
      </c>
      <c r="L101" s="1175">
        <f t="shared" si="85"/>
        <v>30</v>
      </c>
      <c r="M101" s="1176">
        <f t="shared" si="87"/>
        <v>0</v>
      </c>
      <c r="N101" s="1177">
        <f t="shared" si="88"/>
        <v>0</v>
      </c>
      <c r="O101" s="1173">
        <f>IF(J99&gt;0, (N99+N100+N101)*1, 0)</f>
        <v>0</v>
      </c>
      <c r="P101" s="1178">
        <f t="shared" si="89"/>
        <v>0</v>
      </c>
      <c r="Q101" s="1179">
        <f>IF(M99&gt;0, (P99+P100+P101)*1, 0)</f>
        <v>0</v>
      </c>
      <c r="R101" s="2">
        <f>K101*12</f>
        <v>0</v>
      </c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36.75" customHeight="1" outlineLevel="1">
      <c r="A102" s="1132" t="s">
        <v>1133</v>
      </c>
      <c r="B102" s="1149" t="str">
        <f>B99</f>
        <v xml:space="preserve">JULIO-DE-CASTILHOS__JC </v>
      </c>
      <c r="C102" s="1180" t="s">
        <v>4</v>
      </c>
      <c r="D102" s="1181">
        <v>100</v>
      </c>
      <c r="E102" s="1182">
        <v>1</v>
      </c>
      <c r="F102" s="1164">
        <v>1</v>
      </c>
      <c r="G102" s="1183">
        <v>4419.04</v>
      </c>
      <c r="H102" s="1184">
        <f t="shared" si="91"/>
        <v>4419.04</v>
      </c>
      <c r="I102" s="659"/>
      <c r="J102" s="1156">
        <f t="shared" si="86"/>
        <v>4419.04</v>
      </c>
      <c r="K102" s="659"/>
      <c r="L102" s="1157">
        <f t="shared" si="85"/>
        <v>30</v>
      </c>
      <c r="M102" s="1158">
        <f t="shared" si="87"/>
        <v>30</v>
      </c>
      <c r="N102" s="1159">
        <f t="shared" si="88"/>
        <v>53028.479999999996</v>
      </c>
      <c r="O102" s="659"/>
      <c r="P102" s="1160">
        <f t="shared" si="89"/>
        <v>132571.20000000001</v>
      </c>
      <c r="Q102" s="1161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36.75" customHeight="1" outlineLevel="1">
      <c r="A103" s="1132" t="s">
        <v>1133</v>
      </c>
      <c r="B103" s="1149" t="str">
        <f t="shared" ref="B103:B104" si="92">B102</f>
        <v xml:space="preserve">JULIO-DE-CASTILHOS__JC </v>
      </c>
      <c r="C103" s="1185" t="s">
        <v>1143</v>
      </c>
      <c r="D103" s="1163">
        <v>100</v>
      </c>
      <c r="E103" s="1182">
        <v>1</v>
      </c>
      <c r="F103" s="1164">
        <v>1</v>
      </c>
      <c r="G103" s="1183">
        <v>0</v>
      </c>
      <c r="H103" s="1165">
        <f>G103*F103</f>
        <v>0</v>
      </c>
      <c r="I103" s="647"/>
      <c r="J103" s="1156">
        <f t="shared" si="86"/>
        <v>0</v>
      </c>
      <c r="K103" s="647"/>
      <c r="L103" s="1157">
        <f>L102</f>
        <v>30</v>
      </c>
      <c r="M103" s="1158">
        <f t="shared" si="87"/>
        <v>30</v>
      </c>
      <c r="N103" s="1159">
        <f t="shared" si="88"/>
        <v>0</v>
      </c>
      <c r="O103" s="647"/>
      <c r="P103" s="1160">
        <f t="shared" si="89"/>
        <v>0</v>
      </c>
      <c r="Q103" s="1166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36.75" customHeight="1" outlineLevel="1">
      <c r="A104" s="1132" t="s">
        <v>1133</v>
      </c>
      <c r="B104" s="1167" t="str">
        <f t="shared" si="92"/>
        <v xml:space="preserve">JULIO-DE-CASTILHOS__JC </v>
      </c>
      <c r="C104" s="1168" t="s">
        <v>1144</v>
      </c>
      <c r="D104" s="1169">
        <v>100</v>
      </c>
      <c r="E104" s="661">
        <v>1</v>
      </c>
      <c r="F104" s="1170">
        <v>1</v>
      </c>
      <c r="G104" s="1171">
        <v>0</v>
      </c>
      <c r="H104" s="1172">
        <f t="shared" ref="H104:H105" si="93">ROUND(G104*F104,2)</f>
        <v>0</v>
      </c>
      <c r="I104" s="1173">
        <f>SUMIF(E102:E104, "&gt;="&amp;1, H102:H104)</f>
        <v>4419.04</v>
      </c>
      <c r="J104" s="1174">
        <f t="shared" si="86"/>
        <v>0</v>
      </c>
      <c r="K104" s="1173">
        <f>J102+J103+J104</f>
        <v>4419.04</v>
      </c>
      <c r="L104" s="1175">
        <f t="shared" ref="L104:L119" si="94">L101</f>
        <v>30</v>
      </c>
      <c r="M104" s="1176">
        <f t="shared" si="87"/>
        <v>30</v>
      </c>
      <c r="N104" s="1177">
        <f t="shared" si="88"/>
        <v>0</v>
      </c>
      <c r="O104" s="1173">
        <f>IF(J102&gt;0, (N102+N103+N104)*1, 0)</f>
        <v>53028.479999999996</v>
      </c>
      <c r="P104" s="1178">
        <f t="shared" si="89"/>
        <v>0</v>
      </c>
      <c r="Q104" s="1179">
        <f>IF(M102&gt;0, (P102+P103+P104)*1, 0)</f>
        <v>132571.20000000001</v>
      </c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36.75" customHeight="1" outlineLevel="1">
      <c r="A105" s="1132" t="s">
        <v>1133</v>
      </c>
      <c r="B105" s="1149" t="str">
        <f>B102</f>
        <v xml:space="preserve">JULIO-DE-CASTILHOS__JC </v>
      </c>
      <c r="C105" s="1180" t="s">
        <v>5</v>
      </c>
      <c r="D105" s="1181">
        <v>200</v>
      </c>
      <c r="E105" s="1182">
        <v>3</v>
      </c>
      <c r="F105" s="1164">
        <v>1</v>
      </c>
      <c r="G105" s="1183">
        <v>6546.2</v>
      </c>
      <c r="H105" s="1184">
        <f t="shared" si="93"/>
        <v>6546.2</v>
      </c>
      <c r="I105" s="659"/>
      <c r="J105" s="1156">
        <f t="shared" si="86"/>
        <v>19638.599999999999</v>
      </c>
      <c r="K105" s="659"/>
      <c r="L105" s="1157">
        <f t="shared" si="94"/>
        <v>30</v>
      </c>
      <c r="M105" s="1158">
        <f t="shared" si="87"/>
        <v>90</v>
      </c>
      <c r="N105" s="1159">
        <f t="shared" si="88"/>
        <v>235663.19999999998</v>
      </c>
      <c r="O105" s="659"/>
      <c r="P105" s="1160">
        <f t="shared" si="89"/>
        <v>589158</v>
      </c>
      <c r="Q105" s="1161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36.75" customHeight="1" outlineLevel="1">
      <c r="A106" s="1132" t="s">
        <v>1133</v>
      </c>
      <c r="B106" s="1149" t="str">
        <f t="shared" ref="B106:B107" si="95">B105</f>
        <v xml:space="preserve">JULIO-DE-CASTILHOS__JC </v>
      </c>
      <c r="C106" s="1185" t="s">
        <v>1145</v>
      </c>
      <c r="D106" s="1163">
        <v>200</v>
      </c>
      <c r="E106" s="1182">
        <v>3</v>
      </c>
      <c r="F106" s="1164">
        <v>1</v>
      </c>
      <c r="G106" s="1183">
        <v>0</v>
      </c>
      <c r="H106" s="1165">
        <f>G106*F106</f>
        <v>0</v>
      </c>
      <c r="I106" s="647"/>
      <c r="J106" s="1156">
        <f t="shared" si="86"/>
        <v>0</v>
      </c>
      <c r="K106" s="647"/>
      <c r="L106" s="1157">
        <f t="shared" si="94"/>
        <v>30</v>
      </c>
      <c r="M106" s="1158">
        <f t="shared" si="87"/>
        <v>90</v>
      </c>
      <c r="N106" s="1159">
        <f t="shared" si="88"/>
        <v>0</v>
      </c>
      <c r="O106" s="647"/>
      <c r="P106" s="1160">
        <f t="shared" si="89"/>
        <v>0</v>
      </c>
      <c r="Q106" s="1166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36.75" customHeight="1" outlineLevel="1">
      <c r="A107" s="1132" t="s">
        <v>1133</v>
      </c>
      <c r="B107" s="1167" t="str">
        <f t="shared" si="95"/>
        <v xml:space="preserve">JULIO-DE-CASTILHOS__JC </v>
      </c>
      <c r="C107" s="1168" t="s">
        <v>1146</v>
      </c>
      <c r="D107" s="1169">
        <v>200</v>
      </c>
      <c r="E107" s="661">
        <v>3</v>
      </c>
      <c r="F107" s="1170">
        <v>1</v>
      </c>
      <c r="G107" s="1171">
        <v>219.87</v>
      </c>
      <c r="H107" s="1172">
        <f t="shared" ref="H107:H108" si="96">ROUND(G107*F107,2)</f>
        <v>219.87</v>
      </c>
      <c r="I107" s="1173">
        <f>SUMIF(E105:E107, "&gt;="&amp;1, H105:H107)</f>
        <v>6766.07</v>
      </c>
      <c r="J107" s="1174">
        <f t="shared" si="86"/>
        <v>659.61</v>
      </c>
      <c r="K107" s="1173">
        <f>J105+J106+J107</f>
        <v>20298.21</v>
      </c>
      <c r="L107" s="1175">
        <f t="shared" si="94"/>
        <v>30</v>
      </c>
      <c r="M107" s="1176">
        <f t="shared" si="87"/>
        <v>90</v>
      </c>
      <c r="N107" s="1177">
        <f t="shared" si="88"/>
        <v>7915.32</v>
      </c>
      <c r="O107" s="1173">
        <f>IF(J105&gt;0, (N105+N106+N107)*1, 0)</f>
        <v>243578.52</v>
      </c>
      <c r="P107" s="1178">
        <f t="shared" si="89"/>
        <v>19788.3</v>
      </c>
      <c r="Q107" s="1179">
        <f>IF(M105&gt;0, (P105+P106+P107)*1, 0)</f>
        <v>608946.30000000005</v>
      </c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36.75" hidden="1" customHeight="1" outlineLevel="1">
      <c r="A108" s="1132" t="s">
        <v>1133</v>
      </c>
      <c r="B108" s="1149" t="str">
        <f>B105</f>
        <v xml:space="preserve">JULIO-DE-CASTILHOS__JC </v>
      </c>
      <c r="C108" s="1180" t="s">
        <v>6</v>
      </c>
      <c r="D108" s="1163">
        <v>100</v>
      </c>
      <c r="E108" s="1182"/>
      <c r="F108" s="1164">
        <v>1</v>
      </c>
      <c r="G108" s="1154">
        <v>3873.5899999999997</v>
      </c>
      <c r="H108" s="1184">
        <f t="shared" si="96"/>
        <v>3873.59</v>
      </c>
      <c r="I108" s="659"/>
      <c r="J108" s="1156">
        <f t="shared" si="86"/>
        <v>0</v>
      </c>
      <c r="K108" s="659"/>
      <c r="L108" s="1157">
        <f t="shared" si="94"/>
        <v>30</v>
      </c>
      <c r="M108" s="1158">
        <f t="shared" si="87"/>
        <v>0</v>
      </c>
      <c r="N108" s="1159">
        <f t="shared" si="88"/>
        <v>0</v>
      </c>
      <c r="O108" s="659"/>
      <c r="P108" s="1160">
        <f t="shared" si="89"/>
        <v>0</v>
      </c>
      <c r="Q108" s="1161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36.75" hidden="1" customHeight="1" outlineLevel="1">
      <c r="A109" s="1132" t="s">
        <v>1133</v>
      </c>
      <c r="B109" s="1149" t="str">
        <f t="shared" ref="B109:B110" si="97">B108</f>
        <v xml:space="preserve">JULIO-DE-CASTILHOS__JC </v>
      </c>
      <c r="C109" s="1185" t="s">
        <v>1147</v>
      </c>
      <c r="D109" s="1163">
        <v>200</v>
      </c>
      <c r="E109" s="1182"/>
      <c r="F109" s="1164">
        <v>1</v>
      </c>
      <c r="G109" s="1154">
        <v>0</v>
      </c>
      <c r="H109" s="1165">
        <f>G109*F109</f>
        <v>0</v>
      </c>
      <c r="I109" s="647"/>
      <c r="J109" s="1156">
        <f t="shared" si="86"/>
        <v>0</v>
      </c>
      <c r="K109" s="647"/>
      <c r="L109" s="1157">
        <f t="shared" si="94"/>
        <v>30</v>
      </c>
      <c r="M109" s="1158">
        <f t="shared" si="87"/>
        <v>0</v>
      </c>
      <c r="N109" s="1159">
        <f t="shared" si="88"/>
        <v>0</v>
      </c>
      <c r="O109" s="647"/>
      <c r="P109" s="1160">
        <f t="shared" si="89"/>
        <v>0</v>
      </c>
      <c r="Q109" s="1166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36.75" hidden="1" customHeight="1" outlineLevel="1">
      <c r="A110" s="1132" t="s">
        <v>1133</v>
      </c>
      <c r="B110" s="1167" t="str">
        <f t="shared" si="97"/>
        <v xml:space="preserve">JULIO-DE-CASTILHOS__JC </v>
      </c>
      <c r="C110" s="1168" t="s">
        <v>1148</v>
      </c>
      <c r="D110" s="1169">
        <v>100</v>
      </c>
      <c r="E110" s="661"/>
      <c r="F110" s="1170">
        <v>1</v>
      </c>
      <c r="G110" s="1171">
        <v>0</v>
      </c>
      <c r="H110" s="1172">
        <f t="shared" ref="H110:H111" si="98">ROUND(G110*F110,2)</f>
        <v>0</v>
      </c>
      <c r="I110" s="1173">
        <f>SUMIF(E108:E110, "&gt;="&amp;1, H108:H110)</f>
        <v>0</v>
      </c>
      <c r="J110" s="1174">
        <f t="shared" si="86"/>
        <v>0</v>
      </c>
      <c r="K110" s="1173">
        <f>J108+J109+J110</f>
        <v>0</v>
      </c>
      <c r="L110" s="1175">
        <f t="shared" si="94"/>
        <v>30</v>
      </c>
      <c r="M110" s="1176">
        <f t="shared" si="87"/>
        <v>0</v>
      </c>
      <c r="N110" s="1177">
        <f t="shared" si="88"/>
        <v>0</v>
      </c>
      <c r="O110" s="1173">
        <f>IF(J108&gt;0, (N108+N109+N110)*1, 0)</f>
        <v>0</v>
      </c>
      <c r="P110" s="1178">
        <f t="shared" si="89"/>
        <v>0</v>
      </c>
      <c r="Q110" s="1179">
        <f>IF(M108&gt;0, (P108+P109+P110)*1, 0)</f>
        <v>0</v>
      </c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36.75" customHeight="1" outlineLevel="1">
      <c r="A111" s="1132" t="s">
        <v>1133</v>
      </c>
      <c r="B111" s="1149" t="str">
        <f>B108</f>
        <v xml:space="preserve">JULIO-DE-CASTILHOS__JC </v>
      </c>
      <c r="C111" s="1180" t="s">
        <v>7</v>
      </c>
      <c r="D111" s="1163">
        <v>200</v>
      </c>
      <c r="E111" s="1182">
        <v>1</v>
      </c>
      <c r="F111" s="1164">
        <v>1</v>
      </c>
      <c r="G111" s="1154">
        <v>12687.239999999998</v>
      </c>
      <c r="H111" s="1184">
        <f t="shared" si="98"/>
        <v>12687.24</v>
      </c>
      <c r="I111" s="659"/>
      <c r="J111" s="1156">
        <f t="shared" si="86"/>
        <v>12687.24</v>
      </c>
      <c r="K111" s="659"/>
      <c r="L111" s="1157">
        <f t="shared" si="94"/>
        <v>30</v>
      </c>
      <c r="M111" s="1158">
        <f t="shared" si="87"/>
        <v>30</v>
      </c>
      <c r="N111" s="1159">
        <f t="shared" si="88"/>
        <v>152246.88</v>
      </c>
      <c r="O111" s="659"/>
      <c r="P111" s="1160">
        <f t="shared" si="89"/>
        <v>380617.2</v>
      </c>
      <c r="Q111" s="1161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36.75" customHeight="1" outlineLevel="1">
      <c r="A112" s="1132" t="s">
        <v>1133</v>
      </c>
      <c r="B112" s="1149" t="str">
        <f t="shared" ref="B112:B113" si="99">B111</f>
        <v xml:space="preserve">JULIO-DE-CASTILHOS__JC </v>
      </c>
      <c r="C112" s="1185" t="s">
        <v>1149</v>
      </c>
      <c r="D112" s="1163">
        <v>200</v>
      </c>
      <c r="E112" s="1182">
        <v>1</v>
      </c>
      <c r="F112" s="1164">
        <v>1</v>
      </c>
      <c r="G112" s="1154">
        <v>0</v>
      </c>
      <c r="H112" s="1165">
        <f>G112*F112</f>
        <v>0</v>
      </c>
      <c r="I112" s="647"/>
      <c r="J112" s="1156">
        <f t="shared" si="86"/>
        <v>0</v>
      </c>
      <c r="K112" s="647"/>
      <c r="L112" s="1157">
        <f t="shared" si="94"/>
        <v>30</v>
      </c>
      <c r="M112" s="1158">
        <f t="shared" si="87"/>
        <v>30</v>
      </c>
      <c r="N112" s="1159">
        <f t="shared" si="88"/>
        <v>0</v>
      </c>
      <c r="O112" s="647"/>
      <c r="P112" s="1160">
        <f t="shared" si="89"/>
        <v>0</v>
      </c>
      <c r="Q112" s="1166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36.75" customHeight="1" outlineLevel="1">
      <c r="A113" s="1132" t="s">
        <v>1133</v>
      </c>
      <c r="B113" s="1167" t="str">
        <f t="shared" si="99"/>
        <v xml:space="preserve">JULIO-DE-CASTILHOS__JC </v>
      </c>
      <c r="C113" s="1168" t="s">
        <v>1150</v>
      </c>
      <c r="D113" s="1169">
        <v>200</v>
      </c>
      <c r="E113" s="661">
        <v>1</v>
      </c>
      <c r="F113" s="1170">
        <v>1</v>
      </c>
      <c r="G113" s="1171">
        <v>219.87</v>
      </c>
      <c r="H113" s="1172">
        <f t="shared" ref="H113:H114" si="100">ROUND(G113*F113,2)</f>
        <v>219.87</v>
      </c>
      <c r="I113" s="1173">
        <f>SUMIF(E111:E113, "&gt;="&amp;1, H111:H113)</f>
        <v>12907.11</v>
      </c>
      <c r="J113" s="1174">
        <f t="shared" si="86"/>
        <v>219.87</v>
      </c>
      <c r="K113" s="1173">
        <f>J111+J112+J113</f>
        <v>12907.11</v>
      </c>
      <c r="L113" s="1175">
        <f t="shared" si="94"/>
        <v>30</v>
      </c>
      <c r="M113" s="1176">
        <f t="shared" si="87"/>
        <v>30</v>
      </c>
      <c r="N113" s="1177">
        <f t="shared" si="88"/>
        <v>2638.44</v>
      </c>
      <c r="O113" s="1173">
        <f>IF(J111&gt;0, (N111+N112+N113)*1, 0)</f>
        <v>154885.32</v>
      </c>
      <c r="P113" s="1178">
        <f t="shared" si="89"/>
        <v>6596.1</v>
      </c>
      <c r="Q113" s="1179">
        <f>IF(M111&gt;0, (P111+P112+P113)*1, 0)</f>
        <v>387213.3</v>
      </c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36.75" hidden="1" customHeight="1" outlineLevel="1">
      <c r="A114" s="1132" t="s">
        <v>1133</v>
      </c>
      <c r="B114" s="1149" t="str">
        <f>B108</f>
        <v xml:space="preserve">JULIO-DE-CASTILHOS__JC </v>
      </c>
      <c r="C114" s="1180" t="s">
        <v>8</v>
      </c>
      <c r="D114" s="1163">
        <v>100</v>
      </c>
      <c r="E114" s="1182"/>
      <c r="F114" s="1164">
        <v>1</v>
      </c>
      <c r="G114" s="1154">
        <v>6954.3</v>
      </c>
      <c r="H114" s="1184">
        <f t="shared" si="100"/>
        <v>6954.3</v>
      </c>
      <c r="I114" s="659"/>
      <c r="J114" s="1156">
        <f t="shared" si="86"/>
        <v>0</v>
      </c>
      <c r="K114" s="659"/>
      <c r="L114" s="1157">
        <f t="shared" si="94"/>
        <v>30</v>
      </c>
      <c r="M114" s="1158">
        <f t="shared" si="87"/>
        <v>0</v>
      </c>
      <c r="N114" s="1159">
        <f t="shared" si="88"/>
        <v>0</v>
      </c>
      <c r="O114" s="659"/>
      <c r="P114" s="1160">
        <f t="shared" si="89"/>
        <v>0</v>
      </c>
      <c r="Q114" s="1161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36.75" hidden="1" customHeight="1" outlineLevel="1">
      <c r="A115" s="1132" t="s">
        <v>1133</v>
      </c>
      <c r="B115" s="1149" t="str">
        <f t="shared" ref="B115:B116" si="101">B114</f>
        <v xml:space="preserve">JULIO-DE-CASTILHOS__JC </v>
      </c>
      <c r="C115" s="1185" t="s">
        <v>1151</v>
      </c>
      <c r="D115" s="1163">
        <v>100</v>
      </c>
      <c r="E115" s="1182"/>
      <c r="F115" s="1164">
        <v>1</v>
      </c>
      <c r="G115" s="1154">
        <v>0</v>
      </c>
      <c r="H115" s="1165">
        <f>G115*F115</f>
        <v>0</v>
      </c>
      <c r="I115" s="647"/>
      <c r="J115" s="1156">
        <f t="shared" si="86"/>
        <v>0</v>
      </c>
      <c r="K115" s="647"/>
      <c r="L115" s="1157">
        <f t="shared" si="94"/>
        <v>30</v>
      </c>
      <c r="M115" s="1158">
        <f t="shared" si="87"/>
        <v>0</v>
      </c>
      <c r="N115" s="1159">
        <f t="shared" si="88"/>
        <v>0</v>
      </c>
      <c r="O115" s="647"/>
      <c r="P115" s="1160">
        <f t="shared" si="89"/>
        <v>0</v>
      </c>
      <c r="Q115" s="1166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36.75" hidden="1" customHeight="1" outlineLevel="1">
      <c r="A116" s="1132" t="s">
        <v>1133</v>
      </c>
      <c r="B116" s="1167" t="str">
        <f t="shared" si="101"/>
        <v xml:space="preserve">JULIO-DE-CASTILHOS__JC </v>
      </c>
      <c r="C116" s="1168" t="s">
        <v>1152</v>
      </c>
      <c r="D116" s="1169">
        <v>100</v>
      </c>
      <c r="E116" s="661"/>
      <c r="F116" s="1170">
        <v>1</v>
      </c>
      <c r="G116" s="1171">
        <v>0</v>
      </c>
      <c r="H116" s="1172">
        <f t="shared" ref="H116:H117" si="102">ROUND(G116*F116,2)</f>
        <v>0</v>
      </c>
      <c r="I116" s="1173">
        <f>SUMIF(E114:E116, "&gt;="&amp;1, H114:H116)</f>
        <v>0</v>
      </c>
      <c r="J116" s="1174">
        <f t="shared" si="86"/>
        <v>0</v>
      </c>
      <c r="K116" s="1173">
        <f>J114+J115+J116</f>
        <v>0</v>
      </c>
      <c r="L116" s="1175">
        <f t="shared" si="94"/>
        <v>30</v>
      </c>
      <c r="M116" s="1176">
        <f t="shared" si="87"/>
        <v>0</v>
      </c>
      <c r="N116" s="1177">
        <f t="shared" si="88"/>
        <v>0</v>
      </c>
      <c r="O116" s="1173">
        <f>IF(J114&gt;0, (N114+N115+N116)*1, 0)</f>
        <v>0</v>
      </c>
      <c r="P116" s="1178">
        <f t="shared" si="89"/>
        <v>0</v>
      </c>
      <c r="Q116" s="1179">
        <f>IF(M114&gt;0, (P114+P115+P116)*1, 0)</f>
        <v>0</v>
      </c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36.75" hidden="1" customHeight="1" outlineLevel="1">
      <c r="A117" s="1132" t="s">
        <v>1133</v>
      </c>
      <c r="B117" s="1149" t="str">
        <f>B114</f>
        <v xml:space="preserve">JULIO-DE-CASTILHOS__JC </v>
      </c>
      <c r="C117" s="1180" t="s">
        <v>9</v>
      </c>
      <c r="D117" s="1163">
        <v>200</v>
      </c>
      <c r="E117" s="1182"/>
      <c r="F117" s="1164">
        <v>1</v>
      </c>
      <c r="G117" s="1154">
        <v>6216.5</v>
      </c>
      <c r="H117" s="1184">
        <f t="shared" si="102"/>
        <v>6216.5</v>
      </c>
      <c r="I117" s="659"/>
      <c r="J117" s="1156">
        <f t="shared" si="86"/>
        <v>0</v>
      </c>
      <c r="K117" s="659"/>
      <c r="L117" s="1157">
        <f t="shared" si="94"/>
        <v>30</v>
      </c>
      <c r="M117" s="1158">
        <f t="shared" si="87"/>
        <v>0</v>
      </c>
      <c r="N117" s="1159">
        <f t="shared" si="88"/>
        <v>0</v>
      </c>
      <c r="O117" s="659"/>
      <c r="P117" s="1160">
        <f t="shared" si="89"/>
        <v>0</v>
      </c>
      <c r="Q117" s="1161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36.75" hidden="1" customHeight="1" outlineLevel="1">
      <c r="A118" s="1132" t="s">
        <v>1133</v>
      </c>
      <c r="B118" s="1149" t="str">
        <f t="shared" ref="B118:B120" si="103">B117</f>
        <v xml:space="preserve">JULIO-DE-CASTILHOS__JC </v>
      </c>
      <c r="C118" s="1185" t="s">
        <v>1153</v>
      </c>
      <c r="D118" s="1163">
        <v>200</v>
      </c>
      <c r="E118" s="1182"/>
      <c r="F118" s="1164">
        <v>1</v>
      </c>
      <c r="G118" s="1154">
        <v>0</v>
      </c>
      <c r="H118" s="1165">
        <f>G118*F118</f>
        <v>0</v>
      </c>
      <c r="I118" s="647"/>
      <c r="J118" s="1156">
        <f t="shared" si="86"/>
        <v>0</v>
      </c>
      <c r="K118" s="647"/>
      <c r="L118" s="1157">
        <f t="shared" si="94"/>
        <v>30</v>
      </c>
      <c r="M118" s="1158">
        <f t="shared" si="87"/>
        <v>0</v>
      </c>
      <c r="N118" s="1159">
        <f t="shared" si="88"/>
        <v>0</v>
      </c>
      <c r="O118" s="647"/>
      <c r="P118" s="1160">
        <f t="shared" si="89"/>
        <v>0</v>
      </c>
      <c r="Q118" s="1166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36.75" hidden="1" customHeight="1" outlineLevel="1">
      <c r="A119" s="1132" t="s">
        <v>1133</v>
      </c>
      <c r="B119" s="1167" t="str">
        <f t="shared" si="103"/>
        <v xml:space="preserve">JULIO-DE-CASTILHOS__JC </v>
      </c>
      <c r="C119" s="1168" t="s">
        <v>1154</v>
      </c>
      <c r="D119" s="1169">
        <v>200</v>
      </c>
      <c r="E119" s="661"/>
      <c r="F119" s="1170">
        <v>1</v>
      </c>
      <c r="G119" s="1171">
        <v>0</v>
      </c>
      <c r="H119" s="1155">
        <f>ROUND(G119*F119,2)</f>
        <v>0</v>
      </c>
      <c r="I119" s="1173">
        <f>SUMIF(E117:E119, "&gt;="&amp;1, H117:H119)</f>
        <v>0</v>
      </c>
      <c r="J119" s="1174">
        <f t="shared" si="86"/>
        <v>0</v>
      </c>
      <c r="K119" s="1173">
        <f>J117+J118+J119</f>
        <v>0</v>
      </c>
      <c r="L119" s="1175">
        <f t="shared" si="94"/>
        <v>30</v>
      </c>
      <c r="M119" s="1176">
        <f t="shared" si="87"/>
        <v>0</v>
      </c>
      <c r="N119" s="1177">
        <f t="shared" si="88"/>
        <v>0</v>
      </c>
      <c r="O119" s="1173">
        <f>IF(J117&gt;0, (N117+N118+N119)*1, 0)</f>
        <v>0</v>
      </c>
      <c r="P119" s="1178">
        <f t="shared" si="89"/>
        <v>0</v>
      </c>
      <c r="Q119" s="1179">
        <f>IF(M117&gt;0, (P117+P118+P119)*1, 0)</f>
        <v>0</v>
      </c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35.25" customHeight="1">
      <c r="A120" s="1186" t="s">
        <v>1155</v>
      </c>
      <c r="B120" s="1187" t="str">
        <f t="shared" si="103"/>
        <v xml:space="preserve">JULIO-DE-CASTILHOS__JC </v>
      </c>
      <c r="C120" s="1188"/>
      <c r="D120" s="1199"/>
      <c r="E120" s="1189"/>
      <c r="F120" s="1200"/>
      <c r="G120" s="1191"/>
      <c r="H120" s="1192"/>
      <c r="I120" s="1193">
        <f t="shared" ref="I120:K120" si="104">SUM(I99:I119)</f>
        <v>24092.22</v>
      </c>
      <c r="J120" s="1193">
        <f t="shared" si="104"/>
        <v>37624.36</v>
      </c>
      <c r="K120" s="1193">
        <f t="shared" si="104"/>
        <v>37624.36</v>
      </c>
      <c r="L120" s="1193"/>
      <c r="M120" s="1193"/>
      <c r="N120" s="1193">
        <f t="shared" ref="N120:Q120" si="105">SUM(N99:N119)</f>
        <v>451492.32</v>
      </c>
      <c r="O120" s="1193">
        <f t="shared" si="105"/>
        <v>451492.32</v>
      </c>
      <c r="P120" s="1193">
        <f t="shared" si="105"/>
        <v>1128730.8</v>
      </c>
      <c r="Q120" s="1193">
        <f t="shared" si="105"/>
        <v>1128730.8</v>
      </c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hidden="1" customHeight="1">
      <c r="A121" s="1132" t="s">
        <v>1133</v>
      </c>
      <c r="B121" s="582" t="s">
        <v>1133</v>
      </c>
      <c r="C121" s="1195"/>
      <c r="D121" s="13"/>
      <c r="E121" s="13"/>
      <c r="F121" s="13"/>
      <c r="G121" s="1197"/>
      <c r="H121" s="1155"/>
      <c r="I121" s="594" t="s">
        <v>1133</v>
      </c>
      <c r="J121" s="1198" t="s">
        <v>1133</v>
      </c>
      <c r="K121" s="594"/>
      <c r="L121" s="1157">
        <f t="shared" ref="L121:L128" si="106">L118</f>
        <v>30</v>
      </c>
      <c r="M121" s="13" t="s">
        <v>1133</v>
      </c>
      <c r="N121" s="592" t="s">
        <v>1133</v>
      </c>
      <c r="O121" s="594" t="s">
        <v>1133</v>
      </c>
      <c r="P121" s="13" t="s">
        <v>1133</v>
      </c>
      <c r="Q121" s="1198" t="s">
        <v>1133</v>
      </c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35.25" hidden="1" customHeight="1">
      <c r="A122" s="1132" t="s">
        <v>325</v>
      </c>
      <c r="B122" s="1149" t="str">
        <f>'CAMPUS.CONTRATANTE'!D15</f>
        <v>PANAMBI__PB</v>
      </c>
      <c r="C122" s="1150" t="s">
        <v>3</v>
      </c>
      <c r="D122" s="1151">
        <v>200</v>
      </c>
      <c r="E122" s="1152"/>
      <c r="F122" s="1153">
        <v>1</v>
      </c>
      <c r="G122" s="1154">
        <v>6975.11</v>
      </c>
      <c r="H122" s="1155">
        <f>ROUND(G122*F122,2)</f>
        <v>6975.11</v>
      </c>
      <c r="I122" s="659"/>
      <c r="J122" s="1156">
        <f t="shared" ref="J122:J142" si="107">H122*E122</f>
        <v>0</v>
      </c>
      <c r="K122" s="659"/>
      <c r="L122" s="1157">
        <f t="shared" si="106"/>
        <v>30</v>
      </c>
      <c r="M122" s="1158">
        <f t="shared" ref="M122:M142" si="108">L122*E122</f>
        <v>0</v>
      </c>
      <c r="N122" s="1159">
        <f t="shared" ref="N122:N142" si="109">J122*12</f>
        <v>0</v>
      </c>
      <c r="O122" s="659"/>
      <c r="P122" s="1160">
        <f t="shared" ref="P122:P142" si="110">J122*L122</f>
        <v>0</v>
      </c>
      <c r="Q122" s="1161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35.25" hidden="1" customHeight="1">
      <c r="A123" s="1132" t="s">
        <v>1133</v>
      </c>
      <c r="B123" s="1149" t="str">
        <f t="shared" ref="B123:B124" si="111">B122</f>
        <v>PANAMBI__PB</v>
      </c>
      <c r="C123" s="1162" t="s">
        <v>1141</v>
      </c>
      <c r="D123" s="1163">
        <v>200</v>
      </c>
      <c r="E123" s="1152"/>
      <c r="F123" s="1164">
        <v>1</v>
      </c>
      <c r="G123" s="1154">
        <v>0</v>
      </c>
      <c r="H123" s="1165">
        <f>G123*F123</f>
        <v>0</v>
      </c>
      <c r="I123" s="647"/>
      <c r="J123" s="1156">
        <f t="shared" si="107"/>
        <v>0</v>
      </c>
      <c r="K123" s="647"/>
      <c r="L123" s="1157">
        <f t="shared" si="106"/>
        <v>0</v>
      </c>
      <c r="M123" s="1158">
        <f t="shared" si="108"/>
        <v>0</v>
      </c>
      <c r="N123" s="1159">
        <f t="shared" si="109"/>
        <v>0</v>
      </c>
      <c r="O123" s="647"/>
      <c r="P123" s="1160">
        <f t="shared" si="110"/>
        <v>0</v>
      </c>
      <c r="Q123" s="1166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35.25" hidden="1" customHeight="1">
      <c r="A124" s="1132" t="s">
        <v>1133</v>
      </c>
      <c r="B124" s="1167" t="str">
        <f t="shared" si="111"/>
        <v>PANAMBI__PB</v>
      </c>
      <c r="C124" s="1168" t="s">
        <v>1142</v>
      </c>
      <c r="D124" s="1169">
        <v>200</v>
      </c>
      <c r="E124" s="661"/>
      <c r="F124" s="1170">
        <v>1</v>
      </c>
      <c r="G124" s="1171">
        <v>0</v>
      </c>
      <c r="H124" s="1172">
        <f t="shared" ref="H124:H125" si="112">ROUND(G124*F124,2)</f>
        <v>0</v>
      </c>
      <c r="I124" s="1173">
        <f>SUMIF(E122:E124, "&gt;="&amp;1, H122:H124)</f>
        <v>0</v>
      </c>
      <c r="J124" s="1174">
        <f t="shared" si="107"/>
        <v>0</v>
      </c>
      <c r="K124" s="1173">
        <f>J122+J123+J124</f>
        <v>0</v>
      </c>
      <c r="L124" s="1175">
        <f t="shared" si="106"/>
        <v>30</v>
      </c>
      <c r="M124" s="1176">
        <f t="shared" si="108"/>
        <v>0</v>
      </c>
      <c r="N124" s="1177">
        <f t="shared" si="109"/>
        <v>0</v>
      </c>
      <c r="O124" s="1173">
        <f>IF(J122&gt;0, (N122+N123+N124)*1, 0)</f>
        <v>0</v>
      </c>
      <c r="P124" s="1178">
        <f t="shared" si="110"/>
        <v>0</v>
      </c>
      <c r="Q124" s="1179">
        <f>IF(M122&gt;0, (P122+P123+P124)*1, 0)</f>
        <v>0</v>
      </c>
      <c r="R124" s="1126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35.25" hidden="1" customHeight="1" outlineLevel="1">
      <c r="A125" s="1132" t="s">
        <v>1133</v>
      </c>
      <c r="B125" s="1149" t="str">
        <f>B122</f>
        <v>PANAMBI__PB</v>
      </c>
      <c r="C125" s="1180" t="s">
        <v>4</v>
      </c>
      <c r="D125" s="1181">
        <v>100</v>
      </c>
      <c r="E125" s="1182"/>
      <c r="F125" s="1164">
        <v>1</v>
      </c>
      <c r="G125" s="1183">
        <v>4465.8500000000004</v>
      </c>
      <c r="H125" s="1184">
        <f t="shared" si="112"/>
        <v>4465.8500000000004</v>
      </c>
      <c r="I125" s="659"/>
      <c r="J125" s="1156">
        <f t="shared" si="107"/>
        <v>0</v>
      </c>
      <c r="K125" s="659"/>
      <c r="L125" s="1157">
        <f t="shared" si="106"/>
        <v>30</v>
      </c>
      <c r="M125" s="1158">
        <f t="shared" si="108"/>
        <v>0</v>
      </c>
      <c r="N125" s="1159">
        <f t="shared" si="109"/>
        <v>0</v>
      </c>
      <c r="O125" s="659"/>
      <c r="P125" s="1160">
        <f t="shared" si="110"/>
        <v>0</v>
      </c>
      <c r="Q125" s="1161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35.25" hidden="1" customHeight="1" outlineLevel="1">
      <c r="A126" s="1132" t="s">
        <v>1133</v>
      </c>
      <c r="B126" s="1149" t="str">
        <f t="shared" ref="B126:B127" si="113">B125</f>
        <v>PANAMBI__PB</v>
      </c>
      <c r="C126" s="1185" t="s">
        <v>1143</v>
      </c>
      <c r="D126" s="1163">
        <v>100</v>
      </c>
      <c r="E126" s="1182"/>
      <c r="F126" s="1164">
        <v>1</v>
      </c>
      <c r="G126" s="1183">
        <v>0</v>
      </c>
      <c r="H126" s="1165">
        <f>G126*F126</f>
        <v>0</v>
      </c>
      <c r="I126" s="647"/>
      <c r="J126" s="1156">
        <f t="shared" si="107"/>
        <v>0</v>
      </c>
      <c r="K126" s="647"/>
      <c r="L126" s="1157">
        <f t="shared" si="106"/>
        <v>0</v>
      </c>
      <c r="M126" s="1158">
        <f t="shared" si="108"/>
        <v>0</v>
      </c>
      <c r="N126" s="1159">
        <f t="shared" si="109"/>
        <v>0</v>
      </c>
      <c r="O126" s="647"/>
      <c r="P126" s="1160">
        <f t="shared" si="110"/>
        <v>0</v>
      </c>
      <c r="Q126" s="1166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35.25" hidden="1" customHeight="1" outlineLevel="1">
      <c r="A127" s="1132" t="s">
        <v>1133</v>
      </c>
      <c r="B127" s="1167" t="str">
        <f t="shared" si="113"/>
        <v>PANAMBI__PB</v>
      </c>
      <c r="C127" s="1168" t="s">
        <v>1144</v>
      </c>
      <c r="D127" s="1169">
        <v>100</v>
      </c>
      <c r="E127" s="661"/>
      <c r="F127" s="1170">
        <v>1</v>
      </c>
      <c r="G127" s="1171">
        <v>0</v>
      </c>
      <c r="H127" s="1172">
        <f t="shared" ref="H127:H128" si="114">ROUND(G127*F127,2)</f>
        <v>0</v>
      </c>
      <c r="I127" s="1173">
        <f>SUMIF(E125:E127, "&gt;="&amp;1, H125:H127)</f>
        <v>0</v>
      </c>
      <c r="J127" s="1174">
        <f t="shared" si="107"/>
        <v>0</v>
      </c>
      <c r="K127" s="1173">
        <f>J125+J126+J127</f>
        <v>0</v>
      </c>
      <c r="L127" s="1175">
        <f t="shared" si="106"/>
        <v>30</v>
      </c>
      <c r="M127" s="1176">
        <f t="shared" si="108"/>
        <v>0</v>
      </c>
      <c r="N127" s="1177">
        <f t="shared" si="109"/>
        <v>0</v>
      </c>
      <c r="O127" s="1173">
        <f>IF(J125&gt;0, (N125+N126+N127)*1, 0)</f>
        <v>0</v>
      </c>
      <c r="P127" s="1178">
        <f t="shared" si="110"/>
        <v>0</v>
      </c>
      <c r="Q127" s="1179">
        <f>IF(M125&gt;0, (P125+P126+P127)*1, 0)</f>
        <v>0</v>
      </c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35.25" customHeight="1" outlineLevel="1">
      <c r="A128" s="1132" t="s">
        <v>1133</v>
      </c>
      <c r="B128" s="1149" t="str">
        <f>B125</f>
        <v>PANAMBI__PB</v>
      </c>
      <c r="C128" s="1180" t="s">
        <v>5</v>
      </c>
      <c r="D128" s="1181">
        <v>200</v>
      </c>
      <c r="E128" s="1182">
        <v>3</v>
      </c>
      <c r="F128" s="1164">
        <v>1</v>
      </c>
      <c r="G128" s="1183">
        <v>6545.07</v>
      </c>
      <c r="H128" s="1184">
        <f t="shared" si="114"/>
        <v>6545.07</v>
      </c>
      <c r="I128" s="659"/>
      <c r="J128" s="1156">
        <f t="shared" si="107"/>
        <v>19635.21</v>
      </c>
      <c r="K128" s="659"/>
      <c r="L128" s="1157">
        <f t="shared" si="106"/>
        <v>30</v>
      </c>
      <c r="M128" s="1158">
        <f t="shared" si="108"/>
        <v>90</v>
      </c>
      <c r="N128" s="1159">
        <f t="shared" si="109"/>
        <v>235622.52</v>
      </c>
      <c r="O128" s="659"/>
      <c r="P128" s="1160">
        <f t="shared" si="110"/>
        <v>589056.29999999993</v>
      </c>
      <c r="Q128" s="1161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35.25" customHeight="1" outlineLevel="1">
      <c r="A129" s="1132" t="s">
        <v>1133</v>
      </c>
      <c r="B129" s="1149" t="str">
        <f t="shared" ref="B129:B130" si="115">B128</f>
        <v>PANAMBI__PB</v>
      </c>
      <c r="C129" s="1185" t="s">
        <v>1145</v>
      </c>
      <c r="D129" s="1163">
        <v>200</v>
      </c>
      <c r="E129" s="1182">
        <v>3</v>
      </c>
      <c r="F129" s="1164">
        <v>1</v>
      </c>
      <c r="G129" s="1183">
        <v>0</v>
      </c>
      <c r="H129" s="1165">
        <f>G129*F129</f>
        <v>0</v>
      </c>
      <c r="I129" s="647"/>
      <c r="J129" s="1156">
        <f t="shared" si="107"/>
        <v>0</v>
      </c>
      <c r="K129" s="647"/>
      <c r="L129" s="1157">
        <f>L128</f>
        <v>30</v>
      </c>
      <c r="M129" s="1158">
        <f t="shared" si="108"/>
        <v>90</v>
      </c>
      <c r="N129" s="1159">
        <f t="shared" si="109"/>
        <v>0</v>
      </c>
      <c r="O129" s="647"/>
      <c r="P129" s="1160">
        <f t="shared" si="110"/>
        <v>0</v>
      </c>
      <c r="Q129" s="1166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35.25" customHeight="1" outlineLevel="1">
      <c r="A130" s="1132" t="s">
        <v>1133</v>
      </c>
      <c r="B130" s="1167" t="str">
        <f t="shared" si="115"/>
        <v>PANAMBI__PB</v>
      </c>
      <c r="C130" s="1168" t="s">
        <v>1146</v>
      </c>
      <c r="D130" s="1169">
        <v>200</v>
      </c>
      <c r="E130" s="661">
        <v>3</v>
      </c>
      <c r="F130" s="1170">
        <v>1</v>
      </c>
      <c r="G130" s="1171">
        <v>107.46</v>
      </c>
      <c r="H130" s="1172">
        <f t="shared" ref="H130:H131" si="116">ROUND(G130*F130,2)</f>
        <v>107.46</v>
      </c>
      <c r="I130" s="1173">
        <f>SUMIF(E128:E130, "&gt;="&amp;1, H128:H130)</f>
        <v>6652.53</v>
      </c>
      <c r="J130" s="1174">
        <f t="shared" si="107"/>
        <v>322.38</v>
      </c>
      <c r="K130" s="1173">
        <f>J128+J129+J130</f>
        <v>19957.59</v>
      </c>
      <c r="L130" s="1175">
        <f t="shared" ref="L130:L142" si="117">L127</f>
        <v>30</v>
      </c>
      <c r="M130" s="1176">
        <f t="shared" si="108"/>
        <v>90</v>
      </c>
      <c r="N130" s="1177">
        <f t="shared" si="109"/>
        <v>3868.56</v>
      </c>
      <c r="O130" s="1173">
        <f>IF(J128&gt;0, (N128+N129+N130)*1, 0)</f>
        <v>239491.08</v>
      </c>
      <c r="P130" s="1178">
        <f t="shared" si="110"/>
        <v>9671.4</v>
      </c>
      <c r="Q130" s="1179">
        <f>IF(M128&gt;0, (P128+P129+P130)*1, 0)</f>
        <v>598727.69999999995</v>
      </c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35.25" hidden="1" customHeight="1" outlineLevel="1">
      <c r="A131" s="1132" t="s">
        <v>1133</v>
      </c>
      <c r="B131" s="1149" t="str">
        <f>B128</f>
        <v>PANAMBI__PB</v>
      </c>
      <c r="C131" s="1180" t="s">
        <v>6</v>
      </c>
      <c r="D131" s="1163">
        <v>100</v>
      </c>
      <c r="E131" s="1182"/>
      <c r="F131" s="1164">
        <v>1</v>
      </c>
      <c r="G131" s="1154">
        <v>3932.6800000000003</v>
      </c>
      <c r="H131" s="1184">
        <f t="shared" si="116"/>
        <v>3932.68</v>
      </c>
      <c r="I131" s="659"/>
      <c r="J131" s="1156">
        <f t="shared" si="107"/>
        <v>0</v>
      </c>
      <c r="K131" s="659"/>
      <c r="L131" s="1157">
        <f t="shared" si="117"/>
        <v>30</v>
      </c>
      <c r="M131" s="1158">
        <f t="shared" si="108"/>
        <v>0</v>
      </c>
      <c r="N131" s="1159">
        <f t="shared" si="109"/>
        <v>0</v>
      </c>
      <c r="O131" s="659"/>
      <c r="P131" s="1160">
        <f t="shared" si="110"/>
        <v>0</v>
      </c>
      <c r="Q131" s="1161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35.25" hidden="1" customHeight="1" outlineLevel="1">
      <c r="A132" s="1132" t="s">
        <v>1133</v>
      </c>
      <c r="B132" s="1149" t="str">
        <f t="shared" ref="B132:B133" si="118">B131</f>
        <v>PANAMBI__PB</v>
      </c>
      <c r="C132" s="1185" t="s">
        <v>1147</v>
      </c>
      <c r="D132" s="1163">
        <v>200</v>
      </c>
      <c r="E132" s="1182"/>
      <c r="F132" s="1164">
        <v>1</v>
      </c>
      <c r="G132" s="1154">
        <v>0</v>
      </c>
      <c r="H132" s="1165">
        <f>G132*F132</f>
        <v>0</v>
      </c>
      <c r="I132" s="647"/>
      <c r="J132" s="1156">
        <f t="shared" si="107"/>
        <v>0</v>
      </c>
      <c r="K132" s="647"/>
      <c r="L132" s="1157">
        <f t="shared" si="117"/>
        <v>30</v>
      </c>
      <c r="M132" s="1158">
        <f t="shared" si="108"/>
        <v>0</v>
      </c>
      <c r="N132" s="1159">
        <f t="shared" si="109"/>
        <v>0</v>
      </c>
      <c r="O132" s="647"/>
      <c r="P132" s="1160">
        <f t="shared" si="110"/>
        <v>0</v>
      </c>
      <c r="Q132" s="1166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35.25" hidden="1" customHeight="1" outlineLevel="1">
      <c r="A133" s="1132" t="s">
        <v>1133</v>
      </c>
      <c r="B133" s="1167" t="str">
        <f t="shared" si="118"/>
        <v>PANAMBI__PB</v>
      </c>
      <c r="C133" s="1168" t="s">
        <v>1148</v>
      </c>
      <c r="D133" s="1169">
        <v>100</v>
      </c>
      <c r="E133" s="661"/>
      <c r="F133" s="1170">
        <v>1</v>
      </c>
      <c r="G133" s="1171">
        <v>0</v>
      </c>
      <c r="H133" s="1172">
        <f t="shared" ref="H133:H134" si="119">ROUND(G133*F133,2)</f>
        <v>0</v>
      </c>
      <c r="I133" s="1173">
        <f>SUMIF(E131:E133, "&gt;="&amp;1, H131:H133)</f>
        <v>0</v>
      </c>
      <c r="J133" s="1174">
        <f t="shared" si="107"/>
        <v>0</v>
      </c>
      <c r="K133" s="1173">
        <f>J131+J132+J133</f>
        <v>0</v>
      </c>
      <c r="L133" s="1175">
        <f t="shared" si="117"/>
        <v>30</v>
      </c>
      <c r="M133" s="1176">
        <f t="shared" si="108"/>
        <v>0</v>
      </c>
      <c r="N133" s="1177">
        <f t="shared" si="109"/>
        <v>0</v>
      </c>
      <c r="O133" s="1173">
        <f>IF(J131&gt;0, (N131+N132+N133)*1, 0)</f>
        <v>0</v>
      </c>
      <c r="P133" s="1178">
        <f t="shared" si="110"/>
        <v>0</v>
      </c>
      <c r="Q133" s="1179">
        <f>IF(M131&gt;0, (P131+P132+P133)*1, 0)</f>
        <v>0</v>
      </c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35.25" customHeight="1" outlineLevel="1">
      <c r="A134" s="1132" t="s">
        <v>1133</v>
      </c>
      <c r="B134" s="1149" t="str">
        <f>B131</f>
        <v>PANAMBI__PB</v>
      </c>
      <c r="C134" s="1180" t="s">
        <v>7</v>
      </c>
      <c r="D134" s="1163">
        <v>200</v>
      </c>
      <c r="E134" s="1182">
        <v>1</v>
      </c>
      <c r="F134" s="1164">
        <v>1</v>
      </c>
      <c r="G134" s="1154">
        <v>12401.33</v>
      </c>
      <c r="H134" s="1184">
        <f t="shared" si="119"/>
        <v>12401.33</v>
      </c>
      <c r="I134" s="659"/>
      <c r="J134" s="1156">
        <f t="shared" si="107"/>
        <v>12401.33</v>
      </c>
      <c r="K134" s="659"/>
      <c r="L134" s="1157">
        <f t="shared" si="117"/>
        <v>30</v>
      </c>
      <c r="M134" s="1158">
        <f t="shared" si="108"/>
        <v>30</v>
      </c>
      <c r="N134" s="1159">
        <f t="shared" si="109"/>
        <v>148815.96</v>
      </c>
      <c r="O134" s="659"/>
      <c r="P134" s="1160">
        <f t="shared" si="110"/>
        <v>372039.9</v>
      </c>
      <c r="Q134" s="1161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35.25" customHeight="1" outlineLevel="1">
      <c r="A135" s="1132" t="s">
        <v>1133</v>
      </c>
      <c r="B135" s="1149" t="str">
        <f t="shared" ref="B135:B136" si="120">B134</f>
        <v>PANAMBI__PB</v>
      </c>
      <c r="C135" s="1185" t="s">
        <v>1149</v>
      </c>
      <c r="D135" s="1163">
        <v>200</v>
      </c>
      <c r="E135" s="1182">
        <v>1</v>
      </c>
      <c r="F135" s="1164">
        <v>1</v>
      </c>
      <c r="G135" s="1154">
        <v>0</v>
      </c>
      <c r="H135" s="1165">
        <f>G135*F135</f>
        <v>0</v>
      </c>
      <c r="I135" s="647"/>
      <c r="J135" s="1156">
        <f t="shared" si="107"/>
        <v>0</v>
      </c>
      <c r="K135" s="647"/>
      <c r="L135" s="1157">
        <f t="shared" si="117"/>
        <v>30</v>
      </c>
      <c r="M135" s="1158">
        <f t="shared" si="108"/>
        <v>30</v>
      </c>
      <c r="N135" s="1159">
        <f t="shared" si="109"/>
        <v>0</v>
      </c>
      <c r="O135" s="647"/>
      <c r="P135" s="1160">
        <f t="shared" si="110"/>
        <v>0</v>
      </c>
      <c r="Q135" s="1166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35.25" customHeight="1" outlineLevel="1">
      <c r="A136" s="1132" t="s">
        <v>1133</v>
      </c>
      <c r="B136" s="1167" t="str">
        <f t="shared" si="120"/>
        <v>PANAMBI__PB</v>
      </c>
      <c r="C136" s="1168" t="s">
        <v>1150</v>
      </c>
      <c r="D136" s="1169">
        <v>200</v>
      </c>
      <c r="E136" s="661">
        <v>1</v>
      </c>
      <c r="F136" s="1170">
        <v>1</v>
      </c>
      <c r="G136" s="1171">
        <v>0</v>
      </c>
      <c r="H136" s="1172">
        <f t="shared" ref="H136:H137" si="121">ROUND(G136*F136,2)</f>
        <v>0</v>
      </c>
      <c r="I136" s="1173">
        <f>SUMIF(E134:E136, "&gt;="&amp;1, H134:H136)</f>
        <v>12401.33</v>
      </c>
      <c r="J136" s="1174">
        <f t="shared" si="107"/>
        <v>0</v>
      </c>
      <c r="K136" s="1173">
        <f>J134+J135+J136</f>
        <v>12401.33</v>
      </c>
      <c r="L136" s="1175">
        <f t="shared" si="117"/>
        <v>30</v>
      </c>
      <c r="M136" s="1176">
        <f t="shared" si="108"/>
        <v>30</v>
      </c>
      <c r="N136" s="1177">
        <f t="shared" si="109"/>
        <v>0</v>
      </c>
      <c r="O136" s="1173">
        <f>IF(J134&gt;0, (N134+N135+N136)*1, 0)</f>
        <v>148815.96</v>
      </c>
      <c r="P136" s="1178">
        <f t="shared" si="110"/>
        <v>0</v>
      </c>
      <c r="Q136" s="1179">
        <f>IF(M134&gt;0, (P134+P135+P136)*1, 0)</f>
        <v>372039.9</v>
      </c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35.25" customHeight="1" outlineLevel="1">
      <c r="A137" s="1132" t="s">
        <v>1133</v>
      </c>
      <c r="B137" s="1149" t="str">
        <f>B131</f>
        <v>PANAMBI__PB</v>
      </c>
      <c r="C137" s="1180" t="s">
        <v>8</v>
      </c>
      <c r="D137" s="1163">
        <v>100</v>
      </c>
      <c r="E137" s="1182">
        <v>1</v>
      </c>
      <c r="F137" s="1164">
        <v>1</v>
      </c>
      <c r="G137" s="1154">
        <v>6943.97</v>
      </c>
      <c r="H137" s="1184">
        <f t="shared" si="121"/>
        <v>6943.97</v>
      </c>
      <c r="I137" s="659"/>
      <c r="J137" s="1156">
        <f t="shared" si="107"/>
        <v>6943.97</v>
      </c>
      <c r="K137" s="659"/>
      <c r="L137" s="1157">
        <f t="shared" si="117"/>
        <v>30</v>
      </c>
      <c r="M137" s="1158">
        <f t="shared" si="108"/>
        <v>30</v>
      </c>
      <c r="N137" s="1159">
        <f t="shared" si="109"/>
        <v>83327.64</v>
      </c>
      <c r="O137" s="659"/>
      <c r="P137" s="1160">
        <f t="shared" si="110"/>
        <v>208319.1</v>
      </c>
      <c r="Q137" s="1161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35.25" customHeight="1" outlineLevel="1">
      <c r="A138" s="1132" t="s">
        <v>1133</v>
      </c>
      <c r="B138" s="1149" t="str">
        <f t="shared" ref="B138:B139" si="122">B137</f>
        <v>PANAMBI__PB</v>
      </c>
      <c r="C138" s="1185" t="s">
        <v>1151</v>
      </c>
      <c r="D138" s="1163">
        <v>100</v>
      </c>
      <c r="E138" s="1182">
        <v>1</v>
      </c>
      <c r="F138" s="1164">
        <v>1</v>
      </c>
      <c r="G138" s="1154">
        <v>0</v>
      </c>
      <c r="H138" s="1165">
        <f>G138*F138</f>
        <v>0</v>
      </c>
      <c r="I138" s="647"/>
      <c r="J138" s="1156">
        <f t="shared" si="107"/>
        <v>0</v>
      </c>
      <c r="K138" s="647"/>
      <c r="L138" s="1157">
        <f t="shared" si="117"/>
        <v>30</v>
      </c>
      <c r="M138" s="1158">
        <f t="shared" si="108"/>
        <v>30</v>
      </c>
      <c r="N138" s="1159">
        <f t="shared" si="109"/>
        <v>0</v>
      </c>
      <c r="O138" s="647"/>
      <c r="P138" s="1160">
        <f t="shared" si="110"/>
        <v>0</v>
      </c>
      <c r="Q138" s="1166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35.25" customHeight="1" outlineLevel="1">
      <c r="A139" s="1132" t="s">
        <v>325</v>
      </c>
      <c r="B139" s="1167" t="str">
        <f t="shared" si="122"/>
        <v>PANAMBI__PB</v>
      </c>
      <c r="C139" s="1168" t="s">
        <v>1152</v>
      </c>
      <c r="D139" s="1169">
        <v>100</v>
      </c>
      <c r="E139" s="661">
        <v>1</v>
      </c>
      <c r="F139" s="1170">
        <v>1</v>
      </c>
      <c r="G139" s="1171">
        <v>0</v>
      </c>
      <c r="H139" s="1172">
        <f t="shared" ref="H139:H140" si="123">ROUND(G139*F139,2)</f>
        <v>0</v>
      </c>
      <c r="I139" s="1173">
        <f>SUMIF(E137:E139, "&gt;="&amp;1, H137:H139)</f>
        <v>6943.97</v>
      </c>
      <c r="J139" s="1174">
        <f t="shared" si="107"/>
        <v>0</v>
      </c>
      <c r="K139" s="1173">
        <f>J137+J138+J139</f>
        <v>6943.97</v>
      </c>
      <c r="L139" s="1175">
        <f t="shared" si="117"/>
        <v>30</v>
      </c>
      <c r="M139" s="1176">
        <f t="shared" si="108"/>
        <v>30</v>
      </c>
      <c r="N139" s="1177">
        <f t="shared" si="109"/>
        <v>0</v>
      </c>
      <c r="O139" s="1173">
        <f>IF(J137&gt;0, (N137+N138+N139)*1, 0)</f>
        <v>83327.64</v>
      </c>
      <c r="P139" s="1178">
        <f t="shared" si="110"/>
        <v>0</v>
      </c>
      <c r="Q139" s="1179">
        <f>IF(M137&gt;0, (P137+P138+P139)*1, 0)</f>
        <v>208319.1</v>
      </c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35.25" hidden="1" customHeight="1" outlineLevel="1">
      <c r="A140" s="1132" t="s">
        <v>1133</v>
      </c>
      <c r="B140" s="1149" t="str">
        <f>B137</f>
        <v>PANAMBI__PB</v>
      </c>
      <c r="C140" s="1180" t="s">
        <v>9</v>
      </c>
      <c r="D140" s="1163">
        <v>200</v>
      </c>
      <c r="E140" s="1182"/>
      <c r="F140" s="1164">
        <v>1</v>
      </c>
      <c r="G140" s="1154">
        <v>6222.8</v>
      </c>
      <c r="H140" s="1184">
        <f t="shared" si="123"/>
        <v>6222.8</v>
      </c>
      <c r="I140" s="659"/>
      <c r="J140" s="1156">
        <f t="shared" si="107"/>
        <v>0</v>
      </c>
      <c r="K140" s="659"/>
      <c r="L140" s="1157">
        <f t="shared" si="117"/>
        <v>30</v>
      </c>
      <c r="M140" s="1158">
        <f t="shared" si="108"/>
        <v>0</v>
      </c>
      <c r="N140" s="1159">
        <f t="shared" si="109"/>
        <v>0</v>
      </c>
      <c r="O140" s="659"/>
      <c r="P140" s="1160">
        <f t="shared" si="110"/>
        <v>0</v>
      </c>
      <c r="Q140" s="1161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35.25" hidden="1" customHeight="1" outlineLevel="1">
      <c r="A141" s="1132" t="s">
        <v>1133</v>
      </c>
      <c r="B141" s="1149" t="str">
        <f t="shared" ref="B141:B143" si="124">B140</f>
        <v>PANAMBI__PB</v>
      </c>
      <c r="C141" s="1185" t="s">
        <v>1153</v>
      </c>
      <c r="D141" s="1163">
        <v>200</v>
      </c>
      <c r="E141" s="1182"/>
      <c r="F141" s="1164">
        <v>1</v>
      </c>
      <c r="G141" s="1154">
        <v>0</v>
      </c>
      <c r="H141" s="1165">
        <f>G141*F141</f>
        <v>0</v>
      </c>
      <c r="I141" s="647"/>
      <c r="J141" s="1156">
        <f t="shared" si="107"/>
        <v>0</v>
      </c>
      <c r="K141" s="647"/>
      <c r="L141" s="1157">
        <f t="shared" si="117"/>
        <v>30</v>
      </c>
      <c r="M141" s="1158">
        <f t="shared" si="108"/>
        <v>0</v>
      </c>
      <c r="N141" s="1159">
        <f t="shared" si="109"/>
        <v>0</v>
      </c>
      <c r="O141" s="647"/>
      <c r="P141" s="1160">
        <f t="shared" si="110"/>
        <v>0</v>
      </c>
      <c r="Q141" s="1166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35.25" hidden="1" customHeight="1" outlineLevel="1">
      <c r="A142" s="1132" t="s">
        <v>1133</v>
      </c>
      <c r="B142" s="1167" t="str">
        <f t="shared" si="124"/>
        <v>PANAMBI__PB</v>
      </c>
      <c r="C142" s="1168" t="s">
        <v>1154</v>
      </c>
      <c r="D142" s="1169">
        <v>200</v>
      </c>
      <c r="E142" s="661"/>
      <c r="F142" s="1170">
        <v>1</v>
      </c>
      <c r="G142" s="1171">
        <v>0</v>
      </c>
      <c r="H142" s="1155">
        <f>ROUND(G142*F142,2)</f>
        <v>0</v>
      </c>
      <c r="I142" s="1173">
        <f>SUMIF(E140:E142, "&gt;="&amp;1, H140:H142)</f>
        <v>0</v>
      </c>
      <c r="J142" s="1174">
        <f t="shared" si="107"/>
        <v>0</v>
      </c>
      <c r="K142" s="1173">
        <f>J140+J141+J142</f>
        <v>0</v>
      </c>
      <c r="L142" s="1175">
        <f t="shared" si="117"/>
        <v>30</v>
      </c>
      <c r="M142" s="1176">
        <f t="shared" si="108"/>
        <v>0</v>
      </c>
      <c r="N142" s="1177">
        <f t="shared" si="109"/>
        <v>0</v>
      </c>
      <c r="O142" s="1173">
        <f>IF(J140&gt;0, (N140+N141+N142)*1, 0)</f>
        <v>0</v>
      </c>
      <c r="P142" s="1178">
        <f t="shared" si="110"/>
        <v>0</v>
      </c>
      <c r="Q142" s="1179">
        <f>IF(M140&gt;0, (P140+P141+P142)*1, 0)</f>
        <v>0</v>
      </c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35.25" customHeight="1">
      <c r="A143" s="1186" t="s">
        <v>1155</v>
      </c>
      <c r="B143" s="1187" t="str">
        <f t="shared" si="124"/>
        <v>PANAMBI__PB</v>
      </c>
      <c r="C143" s="1188"/>
      <c r="D143" s="1199"/>
      <c r="E143" s="1189"/>
      <c r="F143" s="1200"/>
      <c r="G143" s="1191"/>
      <c r="H143" s="1192"/>
      <c r="I143" s="1193">
        <f t="shared" ref="I143:K143" si="125">SUM(I122:I142)</f>
        <v>25997.83</v>
      </c>
      <c r="J143" s="1193">
        <f t="shared" si="125"/>
        <v>39302.89</v>
      </c>
      <c r="K143" s="1193">
        <f t="shared" si="125"/>
        <v>39302.89</v>
      </c>
      <c r="L143" s="1193"/>
      <c r="M143" s="1193"/>
      <c r="N143" s="1193">
        <f t="shared" ref="N143:Q143" si="126">SUM(N122:N142)</f>
        <v>471634.68</v>
      </c>
      <c r="O143" s="1193">
        <f t="shared" si="126"/>
        <v>471634.68</v>
      </c>
      <c r="P143" s="1193">
        <f t="shared" si="126"/>
        <v>1179086.7</v>
      </c>
      <c r="Q143" s="1193">
        <f t="shared" si="126"/>
        <v>1179086.7</v>
      </c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hidden="1" customHeight="1">
      <c r="A144" s="1132" t="s">
        <v>1133</v>
      </c>
      <c r="B144" s="582" t="s">
        <v>1133</v>
      </c>
      <c r="C144" s="1195"/>
      <c r="D144" s="13"/>
      <c r="E144" s="13"/>
      <c r="F144" s="13"/>
      <c r="G144" s="1197"/>
      <c r="H144" s="1155"/>
      <c r="I144" s="594" t="s">
        <v>1133</v>
      </c>
      <c r="J144" s="1198" t="s">
        <v>1133</v>
      </c>
      <c r="K144" s="594"/>
      <c r="L144" s="1157">
        <f t="shared" ref="L144:L165" si="127">L141</f>
        <v>30</v>
      </c>
      <c r="M144" s="13" t="s">
        <v>1133</v>
      </c>
      <c r="N144" s="592" t="s">
        <v>1133</v>
      </c>
      <c r="O144" s="594" t="s">
        <v>1133</v>
      </c>
      <c r="P144" s="13" t="s">
        <v>1133</v>
      </c>
      <c r="Q144" s="1198" t="s">
        <v>1133</v>
      </c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34.5" hidden="1" customHeight="1">
      <c r="A145" s="1132" t="s">
        <v>325</v>
      </c>
      <c r="B145" s="1149" t="str">
        <f>'CAMPUS.CONTRATANTE'!D16</f>
        <v>SANTA-MARIA__SM-RT</v>
      </c>
      <c r="C145" s="1150" t="s">
        <v>3</v>
      </c>
      <c r="D145" s="1151">
        <v>200</v>
      </c>
      <c r="E145" s="1152"/>
      <c r="F145" s="1153">
        <v>1</v>
      </c>
      <c r="G145" s="1154">
        <v>7087.06</v>
      </c>
      <c r="H145" s="1155">
        <f>ROUND(G145*F145,2)</f>
        <v>7087.06</v>
      </c>
      <c r="I145" s="659"/>
      <c r="J145" s="1156">
        <f t="shared" ref="J145:J165" si="128">H145*E145</f>
        <v>0</v>
      </c>
      <c r="K145" s="659"/>
      <c r="L145" s="1157">
        <f t="shared" si="127"/>
        <v>30</v>
      </c>
      <c r="M145" s="1158">
        <f t="shared" ref="M145:M165" si="129">L145*E145</f>
        <v>0</v>
      </c>
      <c r="N145" s="1159">
        <f t="shared" ref="N145:N165" si="130">J145*12</f>
        <v>0</v>
      </c>
      <c r="O145" s="659"/>
      <c r="P145" s="1160">
        <f t="shared" ref="P145:P165" si="131">J145*L145</f>
        <v>0</v>
      </c>
      <c r="Q145" s="1161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34.5" hidden="1" customHeight="1">
      <c r="A146" s="1132" t="s">
        <v>1133</v>
      </c>
      <c r="B146" s="1149" t="str">
        <f t="shared" ref="B146:B147" si="132">B145</f>
        <v>SANTA-MARIA__SM-RT</v>
      </c>
      <c r="C146" s="1162" t="s">
        <v>1141</v>
      </c>
      <c r="D146" s="1163">
        <v>200</v>
      </c>
      <c r="E146" s="1152"/>
      <c r="F146" s="1164">
        <v>1</v>
      </c>
      <c r="G146" s="1154">
        <v>0</v>
      </c>
      <c r="H146" s="1165">
        <f>G146*F146</f>
        <v>0</v>
      </c>
      <c r="I146" s="647"/>
      <c r="J146" s="1156">
        <f t="shared" si="128"/>
        <v>0</v>
      </c>
      <c r="K146" s="647"/>
      <c r="L146" s="1157">
        <f t="shared" si="127"/>
        <v>0</v>
      </c>
      <c r="M146" s="1158">
        <f t="shared" si="129"/>
        <v>0</v>
      </c>
      <c r="N146" s="1159">
        <f t="shared" si="130"/>
        <v>0</v>
      </c>
      <c r="O146" s="647"/>
      <c r="P146" s="1160">
        <f t="shared" si="131"/>
        <v>0</v>
      </c>
      <c r="Q146" s="1166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34.5" hidden="1" customHeight="1">
      <c r="A147" s="1132" t="s">
        <v>1133</v>
      </c>
      <c r="B147" s="1167" t="str">
        <f t="shared" si="132"/>
        <v>SANTA-MARIA__SM-RT</v>
      </c>
      <c r="C147" s="1168" t="s">
        <v>1142</v>
      </c>
      <c r="D147" s="1169">
        <v>200</v>
      </c>
      <c r="E147" s="661"/>
      <c r="F147" s="1170">
        <v>1</v>
      </c>
      <c r="G147" s="1171">
        <v>0</v>
      </c>
      <c r="H147" s="1172">
        <f t="shared" ref="H147:H148" si="133">ROUND(G147*F147,2)</f>
        <v>0</v>
      </c>
      <c r="I147" s="1173">
        <f>SUMIF(E145:E147, "&gt;="&amp;1, H145:H147)</f>
        <v>0</v>
      </c>
      <c r="J147" s="1174">
        <f t="shared" si="128"/>
        <v>0</v>
      </c>
      <c r="K147" s="1173">
        <f>J145+J146+J147</f>
        <v>0</v>
      </c>
      <c r="L147" s="1175">
        <f t="shared" si="127"/>
        <v>30</v>
      </c>
      <c r="M147" s="1176">
        <f t="shared" si="129"/>
        <v>0</v>
      </c>
      <c r="N147" s="1177">
        <f t="shared" si="130"/>
        <v>0</v>
      </c>
      <c r="O147" s="1173">
        <f>IF(J145&gt;0, (N145+N146+N147)*1, 0)</f>
        <v>0</v>
      </c>
      <c r="P147" s="1178">
        <f t="shared" si="131"/>
        <v>0</v>
      </c>
      <c r="Q147" s="1179">
        <f>IF(M145&gt;0, (P145+P146+P147)*1, 0)</f>
        <v>0</v>
      </c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34.5" hidden="1" customHeight="1">
      <c r="A148" s="1132" t="s">
        <v>1133</v>
      </c>
      <c r="B148" s="1149" t="str">
        <f>B145</f>
        <v>SANTA-MARIA__SM-RT</v>
      </c>
      <c r="C148" s="1180" t="s">
        <v>4</v>
      </c>
      <c r="D148" s="1181">
        <v>100</v>
      </c>
      <c r="E148" s="1182"/>
      <c r="F148" s="1164">
        <v>1</v>
      </c>
      <c r="G148" s="1183">
        <v>4519.95</v>
      </c>
      <c r="H148" s="1184">
        <f t="shared" si="133"/>
        <v>4519.95</v>
      </c>
      <c r="I148" s="659"/>
      <c r="J148" s="1156">
        <f t="shared" si="128"/>
        <v>0</v>
      </c>
      <c r="K148" s="659"/>
      <c r="L148" s="1157">
        <f t="shared" si="127"/>
        <v>30</v>
      </c>
      <c r="M148" s="1158">
        <f t="shared" si="129"/>
        <v>0</v>
      </c>
      <c r="N148" s="1159">
        <f t="shared" si="130"/>
        <v>0</v>
      </c>
      <c r="O148" s="659"/>
      <c r="P148" s="1160">
        <f t="shared" si="131"/>
        <v>0</v>
      </c>
      <c r="Q148" s="1161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34.5" hidden="1" customHeight="1">
      <c r="A149" s="1132" t="s">
        <v>1133</v>
      </c>
      <c r="B149" s="1149" t="str">
        <f t="shared" ref="B149:B150" si="134">B148</f>
        <v>SANTA-MARIA__SM-RT</v>
      </c>
      <c r="C149" s="1185" t="s">
        <v>1143</v>
      </c>
      <c r="D149" s="1163">
        <v>100</v>
      </c>
      <c r="E149" s="1182"/>
      <c r="F149" s="1164">
        <v>1</v>
      </c>
      <c r="G149" s="1183">
        <v>0</v>
      </c>
      <c r="H149" s="1165">
        <f>G149*F149</f>
        <v>0</v>
      </c>
      <c r="I149" s="647"/>
      <c r="J149" s="1156">
        <f t="shared" si="128"/>
        <v>0</v>
      </c>
      <c r="K149" s="647"/>
      <c r="L149" s="1157">
        <f t="shared" si="127"/>
        <v>0</v>
      </c>
      <c r="M149" s="1158">
        <f t="shared" si="129"/>
        <v>0</v>
      </c>
      <c r="N149" s="1159">
        <f t="shared" si="130"/>
        <v>0</v>
      </c>
      <c r="O149" s="647"/>
      <c r="P149" s="1160">
        <f t="shared" si="131"/>
        <v>0</v>
      </c>
      <c r="Q149" s="1166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34.5" hidden="1" customHeight="1">
      <c r="A150" s="1132" t="s">
        <v>1133</v>
      </c>
      <c r="B150" s="1167" t="str">
        <f t="shared" si="134"/>
        <v>SANTA-MARIA__SM-RT</v>
      </c>
      <c r="C150" s="1168" t="s">
        <v>1144</v>
      </c>
      <c r="D150" s="1169">
        <v>100</v>
      </c>
      <c r="E150" s="661"/>
      <c r="F150" s="1170">
        <v>1</v>
      </c>
      <c r="G150" s="1171">
        <v>0</v>
      </c>
      <c r="H150" s="1172">
        <f t="shared" ref="H150:H151" si="135">ROUND(G150*F150,2)</f>
        <v>0</v>
      </c>
      <c r="I150" s="1173">
        <f>SUMIF(E148:E150, "&gt;="&amp;1, H148:H150)</f>
        <v>0</v>
      </c>
      <c r="J150" s="1174">
        <f t="shared" si="128"/>
        <v>0</v>
      </c>
      <c r="K150" s="1173">
        <f>J148+J149+J150</f>
        <v>0</v>
      </c>
      <c r="L150" s="1175">
        <f t="shared" si="127"/>
        <v>30</v>
      </c>
      <c r="M150" s="1176">
        <f t="shared" si="129"/>
        <v>0</v>
      </c>
      <c r="N150" s="1177">
        <f t="shared" si="130"/>
        <v>0</v>
      </c>
      <c r="O150" s="1173">
        <f>IF(J148&gt;0, (N148+N149+N150)*1, 0)</f>
        <v>0</v>
      </c>
      <c r="P150" s="1178">
        <f t="shared" si="131"/>
        <v>0</v>
      </c>
      <c r="Q150" s="1179">
        <f>IF(M148&gt;0, (P148+P149+P150)*1, 0)</f>
        <v>0</v>
      </c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34.5" hidden="1" customHeight="1">
      <c r="A151" s="1132" t="s">
        <v>1133</v>
      </c>
      <c r="B151" s="1149" t="str">
        <f>B148</f>
        <v>SANTA-MARIA__SM-RT</v>
      </c>
      <c r="C151" s="1180" t="s">
        <v>5</v>
      </c>
      <c r="D151" s="1181">
        <v>200</v>
      </c>
      <c r="E151" s="1182"/>
      <c r="F151" s="1164">
        <v>1</v>
      </c>
      <c r="G151" s="1183">
        <v>6647.1</v>
      </c>
      <c r="H151" s="1184">
        <f t="shared" si="135"/>
        <v>6647.1</v>
      </c>
      <c r="I151" s="659"/>
      <c r="J151" s="1156">
        <f t="shared" si="128"/>
        <v>0</v>
      </c>
      <c r="K151" s="659"/>
      <c r="L151" s="1157">
        <f t="shared" si="127"/>
        <v>30</v>
      </c>
      <c r="M151" s="1158">
        <f t="shared" si="129"/>
        <v>0</v>
      </c>
      <c r="N151" s="1159">
        <f t="shared" si="130"/>
        <v>0</v>
      </c>
      <c r="O151" s="659"/>
      <c r="P151" s="1160">
        <f t="shared" si="131"/>
        <v>0</v>
      </c>
      <c r="Q151" s="1161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34.5" hidden="1" customHeight="1">
      <c r="A152" s="1132" t="s">
        <v>1133</v>
      </c>
      <c r="B152" s="1149" t="str">
        <f t="shared" ref="B152:B153" si="136">B151</f>
        <v>SANTA-MARIA__SM-RT</v>
      </c>
      <c r="C152" s="1185" t="s">
        <v>1145</v>
      </c>
      <c r="D152" s="1163">
        <v>200</v>
      </c>
      <c r="E152" s="1182"/>
      <c r="F152" s="1164">
        <v>1</v>
      </c>
      <c r="G152" s="1183">
        <v>0</v>
      </c>
      <c r="H152" s="1165">
        <f>G152*F152</f>
        <v>0</v>
      </c>
      <c r="I152" s="647"/>
      <c r="J152" s="1156">
        <f t="shared" si="128"/>
        <v>0</v>
      </c>
      <c r="K152" s="647"/>
      <c r="L152" s="1157">
        <f t="shared" si="127"/>
        <v>0</v>
      </c>
      <c r="M152" s="1158">
        <f t="shared" si="129"/>
        <v>0</v>
      </c>
      <c r="N152" s="1159">
        <f t="shared" si="130"/>
        <v>0</v>
      </c>
      <c r="O152" s="647"/>
      <c r="P152" s="1160">
        <f t="shared" si="131"/>
        <v>0</v>
      </c>
      <c r="Q152" s="1166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34.5" hidden="1" customHeight="1">
      <c r="A153" s="1132" t="s">
        <v>1133</v>
      </c>
      <c r="B153" s="1167" t="str">
        <f t="shared" si="136"/>
        <v>SANTA-MARIA__SM-RT</v>
      </c>
      <c r="C153" s="1168" t="s">
        <v>1146</v>
      </c>
      <c r="D153" s="1169">
        <v>200</v>
      </c>
      <c r="E153" s="661"/>
      <c r="F153" s="1170">
        <v>1</v>
      </c>
      <c r="G153" s="1171">
        <v>0</v>
      </c>
      <c r="H153" s="1172">
        <f t="shared" ref="H153:H154" si="137">ROUND(G153*F153,2)</f>
        <v>0</v>
      </c>
      <c r="I153" s="1173">
        <f>SUMIF(E151:E153, "&gt;="&amp;1, H151:H153)</f>
        <v>0</v>
      </c>
      <c r="J153" s="1174">
        <f t="shared" si="128"/>
        <v>0</v>
      </c>
      <c r="K153" s="1173">
        <f>J151+J152+J153</f>
        <v>0</v>
      </c>
      <c r="L153" s="1175">
        <f t="shared" si="127"/>
        <v>30</v>
      </c>
      <c r="M153" s="1176">
        <f t="shared" si="129"/>
        <v>0</v>
      </c>
      <c r="N153" s="1177">
        <f t="shared" si="130"/>
        <v>0</v>
      </c>
      <c r="O153" s="1173">
        <f>IF(J151&gt;0, (N151+N152+N153)*1, 0)</f>
        <v>0</v>
      </c>
      <c r="P153" s="1178">
        <f t="shared" si="131"/>
        <v>0</v>
      </c>
      <c r="Q153" s="1179">
        <f>IF(M151&gt;0, (P151+P152+P153)*1, 0)</f>
        <v>0</v>
      </c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34.5" hidden="1" customHeight="1">
      <c r="A154" s="1132" t="s">
        <v>1133</v>
      </c>
      <c r="B154" s="1149" t="str">
        <f>B151</f>
        <v>SANTA-MARIA__SM-RT</v>
      </c>
      <c r="C154" s="1180" t="s">
        <v>6</v>
      </c>
      <c r="D154" s="1163">
        <v>100</v>
      </c>
      <c r="E154" s="1182"/>
      <c r="F154" s="1164">
        <v>1</v>
      </c>
      <c r="G154" s="1154">
        <v>3974.5</v>
      </c>
      <c r="H154" s="1184">
        <f t="shared" si="137"/>
        <v>3974.5</v>
      </c>
      <c r="I154" s="659"/>
      <c r="J154" s="1156">
        <f t="shared" si="128"/>
        <v>0</v>
      </c>
      <c r="K154" s="659"/>
      <c r="L154" s="1157">
        <f t="shared" si="127"/>
        <v>30</v>
      </c>
      <c r="M154" s="1158">
        <f t="shared" si="129"/>
        <v>0</v>
      </c>
      <c r="N154" s="1159">
        <f t="shared" si="130"/>
        <v>0</v>
      </c>
      <c r="O154" s="659"/>
      <c r="P154" s="1160">
        <f t="shared" si="131"/>
        <v>0</v>
      </c>
      <c r="Q154" s="1161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34.5" hidden="1" customHeight="1">
      <c r="A155" s="1132" t="s">
        <v>1133</v>
      </c>
      <c r="B155" s="1149" t="str">
        <f t="shared" ref="B155:B156" si="138">B154</f>
        <v>SANTA-MARIA__SM-RT</v>
      </c>
      <c r="C155" s="1185" t="s">
        <v>1147</v>
      </c>
      <c r="D155" s="1163">
        <v>200</v>
      </c>
      <c r="E155" s="1182"/>
      <c r="F155" s="1164">
        <v>1</v>
      </c>
      <c r="G155" s="1154">
        <v>0</v>
      </c>
      <c r="H155" s="1165">
        <f>G155*F155</f>
        <v>0</v>
      </c>
      <c r="I155" s="647"/>
      <c r="J155" s="1156">
        <f t="shared" si="128"/>
        <v>0</v>
      </c>
      <c r="K155" s="647"/>
      <c r="L155" s="1157">
        <f t="shared" si="127"/>
        <v>0</v>
      </c>
      <c r="M155" s="1158">
        <f t="shared" si="129"/>
        <v>0</v>
      </c>
      <c r="N155" s="1159">
        <f t="shared" si="130"/>
        <v>0</v>
      </c>
      <c r="O155" s="647"/>
      <c r="P155" s="1160">
        <f t="shared" si="131"/>
        <v>0</v>
      </c>
      <c r="Q155" s="1166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34.5" hidden="1" customHeight="1">
      <c r="A156" s="1132" t="s">
        <v>1133</v>
      </c>
      <c r="B156" s="1167" t="str">
        <f t="shared" si="138"/>
        <v>SANTA-MARIA__SM-RT</v>
      </c>
      <c r="C156" s="1168" t="s">
        <v>1148</v>
      </c>
      <c r="D156" s="1169">
        <v>100</v>
      </c>
      <c r="E156" s="661"/>
      <c r="F156" s="1170">
        <v>1</v>
      </c>
      <c r="G156" s="1171">
        <v>0</v>
      </c>
      <c r="H156" s="1172">
        <f t="shared" ref="H156:H157" si="139">ROUND(G156*F156,2)</f>
        <v>0</v>
      </c>
      <c r="I156" s="1173">
        <f>SUMIF(E154:E156, "&gt;="&amp;1, H154:H156)</f>
        <v>0</v>
      </c>
      <c r="J156" s="1174">
        <f t="shared" si="128"/>
        <v>0</v>
      </c>
      <c r="K156" s="1173">
        <f>J154+J155+J156</f>
        <v>0</v>
      </c>
      <c r="L156" s="1175">
        <f t="shared" si="127"/>
        <v>30</v>
      </c>
      <c r="M156" s="1176">
        <f t="shared" si="129"/>
        <v>0</v>
      </c>
      <c r="N156" s="1177">
        <f t="shared" si="130"/>
        <v>0</v>
      </c>
      <c r="O156" s="1173">
        <f>IF(J154&gt;0, (N154+N155+N156)*1, 0)</f>
        <v>0</v>
      </c>
      <c r="P156" s="1178">
        <f t="shared" si="131"/>
        <v>0</v>
      </c>
      <c r="Q156" s="1179">
        <f>IF(M154&gt;0, (P154+P155+P156)*1, 0)</f>
        <v>0</v>
      </c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34.5" hidden="1" customHeight="1">
      <c r="A157" s="1132" t="s">
        <v>1133</v>
      </c>
      <c r="B157" s="1149" t="str">
        <f>B151</f>
        <v>SANTA-MARIA__SM-RT</v>
      </c>
      <c r="C157" s="1180" t="s">
        <v>7</v>
      </c>
      <c r="D157" s="1163">
        <v>200</v>
      </c>
      <c r="E157" s="1182"/>
      <c r="F157" s="1164">
        <v>1</v>
      </c>
      <c r="G157" s="1154">
        <v>12687.239999999998</v>
      </c>
      <c r="H157" s="1184">
        <f t="shared" si="139"/>
        <v>12687.24</v>
      </c>
      <c r="I157" s="659"/>
      <c r="J157" s="1156">
        <f t="shared" si="128"/>
        <v>0</v>
      </c>
      <c r="K157" s="659"/>
      <c r="L157" s="1157">
        <f t="shared" si="127"/>
        <v>30</v>
      </c>
      <c r="M157" s="1158">
        <f t="shared" si="129"/>
        <v>0</v>
      </c>
      <c r="N157" s="1159">
        <f t="shared" si="130"/>
        <v>0</v>
      </c>
      <c r="O157" s="659"/>
      <c r="P157" s="1160">
        <f t="shared" si="131"/>
        <v>0</v>
      </c>
      <c r="Q157" s="1161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34.5" hidden="1" customHeight="1">
      <c r="A158" s="1132" t="s">
        <v>1133</v>
      </c>
      <c r="B158" s="1149" t="str">
        <f t="shared" ref="B158:B159" si="140">B157</f>
        <v>SANTA-MARIA__SM-RT</v>
      </c>
      <c r="C158" s="1185" t="s">
        <v>1149</v>
      </c>
      <c r="D158" s="1163">
        <v>200</v>
      </c>
      <c r="E158" s="1182"/>
      <c r="F158" s="1164">
        <v>1</v>
      </c>
      <c r="G158" s="1154">
        <v>0</v>
      </c>
      <c r="H158" s="1165">
        <f>G158*F158</f>
        <v>0</v>
      </c>
      <c r="I158" s="647"/>
      <c r="J158" s="1156">
        <f t="shared" si="128"/>
        <v>0</v>
      </c>
      <c r="K158" s="647"/>
      <c r="L158" s="1157">
        <f t="shared" si="127"/>
        <v>0</v>
      </c>
      <c r="M158" s="1158">
        <f t="shared" si="129"/>
        <v>0</v>
      </c>
      <c r="N158" s="1159">
        <f t="shared" si="130"/>
        <v>0</v>
      </c>
      <c r="O158" s="647"/>
      <c r="P158" s="1160">
        <f t="shared" si="131"/>
        <v>0</v>
      </c>
      <c r="Q158" s="1166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34.5" hidden="1" customHeight="1">
      <c r="A159" s="1132" t="s">
        <v>1133</v>
      </c>
      <c r="B159" s="1167" t="str">
        <f t="shared" si="140"/>
        <v>SANTA-MARIA__SM-RT</v>
      </c>
      <c r="C159" s="1168" t="s">
        <v>1150</v>
      </c>
      <c r="D159" s="1169">
        <v>200</v>
      </c>
      <c r="E159" s="661"/>
      <c r="F159" s="1170">
        <v>1</v>
      </c>
      <c r="G159" s="1171">
        <v>0</v>
      </c>
      <c r="H159" s="1172">
        <f t="shared" ref="H159:H160" si="141">ROUND(G159*F159,2)</f>
        <v>0</v>
      </c>
      <c r="I159" s="1173">
        <f>SUMIF(E157:E159, "&gt;="&amp;1, H157:H159)</f>
        <v>0</v>
      </c>
      <c r="J159" s="1174">
        <f t="shared" si="128"/>
        <v>0</v>
      </c>
      <c r="K159" s="1173">
        <f>J157+J158+J159</f>
        <v>0</v>
      </c>
      <c r="L159" s="1175">
        <f t="shared" si="127"/>
        <v>30</v>
      </c>
      <c r="M159" s="1176">
        <f t="shared" si="129"/>
        <v>0</v>
      </c>
      <c r="N159" s="1177">
        <f t="shared" si="130"/>
        <v>0</v>
      </c>
      <c r="O159" s="1173">
        <f>IF(J157&gt;0, (N157+N158+N159)*1, 0)</f>
        <v>0</v>
      </c>
      <c r="P159" s="1178">
        <f t="shared" si="131"/>
        <v>0</v>
      </c>
      <c r="Q159" s="1179">
        <f>IF(M157&gt;0, (P157+P158+P159)*1, 0)</f>
        <v>0</v>
      </c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34.5" hidden="1" customHeight="1">
      <c r="A160" s="1132" t="s">
        <v>1133</v>
      </c>
      <c r="B160" s="1149" t="str">
        <f>B157</f>
        <v>SANTA-MARIA__SM-RT</v>
      </c>
      <c r="C160" s="1180" t="s">
        <v>8</v>
      </c>
      <c r="D160" s="1163">
        <v>100</v>
      </c>
      <c r="E160" s="1182"/>
      <c r="F160" s="1164">
        <v>1</v>
      </c>
      <c r="G160" s="1154">
        <v>7055.21</v>
      </c>
      <c r="H160" s="1184">
        <f t="shared" si="141"/>
        <v>7055.21</v>
      </c>
      <c r="I160" s="659"/>
      <c r="J160" s="1156">
        <f t="shared" si="128"/>
        <v>0</v>
      </c>
      <c r="K160" s="659"/>
      <c r="L160" s="1157">
        <f t="shared" si="127"/>
        <v>30</v>
      </c>
      <c r="M160" s="1158">
        <f t="shared" si="129"/>
        <v>0</v>
      </c>
      <c r="N160" s="1159">
        <f t="shared" si="130"/>
        <v>0</v>
      </c>
      <c r="O160" s="659"/>
      <c r="P160" s="1160">
        <f t="shared" si="131"/>
        <v>0</v>
      </c>
      <c r="Q160" s="1161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34.5" hidden="1" customHeight="1">
      <c r="A161" s="1132" t="s">
        <v>1133</v>
      </c>
      <c r="B161" s="1149" t="str">
        <f t="shared" ref="B161:B162" si="142">B160</f>
        <v>SANTA-MARIA__SM-RT</v>
      </c>
      <c r="C161" s="1185" t="s">
        <v>1151</v>
      </c>
      <c r="D161" s="1163">
        <v>100</v>
      </c>
      <c r="E161" s="1182"/>
      <c r="F161" s="1164">
        <v>1</v>
      </c>
      <c r="G161" s="1154">
        <v>0</v>
      </c>
      <c r="H161" s="1165">
        <f>G161*F161</f>
        <v>0</v>
      </c>
      <c r="I161" s="647"/>
      <c r="J161" s="1156">
        <f t="shared" si="128"/>
        <v>0</v>
      </c>
      <c r="K161" s="647"/>
      <c r="L161" s="1157">
        <f t="shared" si="127"/>
        <v>0</v>
      </c>
      <c r="M161" s="1158">
        <f t="shared" si="129"/>
        <v>0</v>
      </c>
      <c r="N161" s="1159">
        <f t="shared" si="130"/>
        <v>0</v>
      </c>
      <c r="O161" s="647"/>
      <c r="P161" s="1160">
        <f t="shared" si="131"/>
        <v>0</v>
      </c>
      <c r="Q161" s="1166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34.5" hidden="1" customHeight="1">
      <c r="A162" s="1132" t="s">
        <v>325</v>
      </c>
      <c r="B162" s="1167" t="str">
        <f t="shared" si="142"/>
        <v>SANTA-MARIA__SM-RT</v>
      </c>
      <c r="C162" s="1168" t="s">
        <v>1152</v>
      </c>
      <c r="D162" s="1169">
        <v>100</v>
      </c>
      <c r="E162" s="661"/>
      <c r="F162" s="1170">
        <v>1</v>
      </c>
      <c r="G162" s="1171">
        <v>0</v>
      </c>
      <c r="H162" s="1172">
        <f t="shared" ref="H162:H163" si="143">ROUND(G162*F162,2)</f>
        <v>0</v>
      </c>
      <c r="I162" s="1173">
        <f>SUMIF(E160:E162, "&gt;="&amp;1, H160:H162)</f>
        <v>0</v>
      </c>
      <c r="J162" s="1174">
        <f t="shared" si="128"/>
        <v>0</v>
      </c>
      <c r="K162" s="1173">
        <f>J160+J161+J162</f>
        <v>0</v>
      </c>
      <c r="L162" s="1175">
        <f t="shared" si="127"/>
        <v>30</v>
      </c>
      <c r="M162" s="1176">
        <f t="shared" si="129"/>
        <v>0</v>
      </c>
      <c r="N162" s="1177">
        <f t="shared" si="130"/>
        <v>0</v>
      </c>
      <c r="O162" s="1173">
        <f>IF(J160&gt;0, (N160+N161+N162)*1, 0)</f>
        <v>0</v>
      </c>
      <c r="P162" s="1178">
        <f t="shared" si="131"/>
        <v>0</v>
      </c>
      <c r="Q162" s="1179">
        <f>IF(M160&gt;0, (P160+P161+P162)*1, 0)</f>
        <v>0</v>
      </c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34.5" hidden="1" customHeight="1" outlineLevel="1">
      <c r="A163" s="1132" t="s">
        <v>1133</v>
      </c>
      <c r="B163" s="1149" t="str">
        <f>B160</f>
        <v>SANTA-MARIA__SM-RT</v>
      </c>
      <c r="C163" s="1180" t="s">
        <v>9</v>
      </c>
      <c r="D163" s="1163">
        <v>200</v>
      </c>
      <c r="E163" s="1182"/>
      <c r="F163" s="1164">
        <v>1</v>
      </c>
      <c r="G163" s="1154">
        <v>6317.41</v>
      </c>
      <c r="H163" s="1184">
        <f t="shared" si="143"/>
        <v>6317.41</v>
      </c>
      <c r="I163" s="659"/>
      <c r="J163" s="1156">
        <f t="shared" si="128"/>
        <v>0</v>
      </c>
      <c r="K163" s="659"/>
      <c r="L163" s="1157">
        <f t="shared" si="127"/>
        <v>30</v>
      </c>
      <c r="M163" s="1158">
        <f t="shared" si="129"/>
        <v>0</v>
      </c>
      <c r="N163" s="1159">
        <f t="shared" si="130"/>
        <v>0</v>
      </c>
      <c r="O163" s="659"/>
      <c r="P163" s="1160">
        <f t="shared" si="131"/>
        <v>0</v>
      </c>
      <c r="Q163" s="1161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34.5" hidden="1" customHeight="1" outlineLevel="1">
      <c r="A164" s="1132" t="s">
        <v>1133</v>
      </c>
      <c r="B164" s="1149" t="str">
        <f t="shared" ref="B164:B166" si="144">B163</f>
        <v>SANTA-MARIA__SM-RT</v>
      </c>
      <c r="C164" s="1185" t="s">
        <v>1153</v>
      </c>
      <c r="D164" s="1163">
        <v>200</v>
      </c>
      <c r="E164" s="1182"/>
      <c r="F164" s="1164">
        <v>1</v>
      </c>
      <c r="G164" s="1154">
        <v>0</v>
      </c>
      <c r="H164" s="1165">
        <f>G164*F164</f>
        <v>0</v>
      </c>
      <c r="I164" s="647"/>
      <c r="J164" s="1156">
        <f t="shared" si="128"/>
        <v>0</v>
      </c>
      <c r="K164" s="647"/>
      <c r="L164" s="1157">
        <f t="shared" si="127"/>
        <v>0</v>
      </c>
      <c r="M164" s="1158">
        <f t="shared" si="129"/>
        <v>0</v>
      </c>
      <c r="N164" s="1159">
        <f t="shared" si="130"/>
        <v>0</v>
      </c>
      <c r="O164" s="647"/>
      <c r="P164" s="1160">
        <f t="shared" si="131"/>
        <v>0</v>
      </c>
      <c r="Q164" s="1166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34.5" hidden="1" customHeight="1" outlineLevel="1">
      <c r="A165" s="1132" t="s">
        <v>1133</v>
      </c>
      <c r="B165" s="1167" t="str">
        <f t="shared" si="144"/>
        <v>SANTA-MARIA__SM-RT</v>
      </c>
      <c r="C165" s="1168" t="s">
        <v>1154</v>
      </c>
      <c r="D165" s="1169">
        <v>200</v>
      </c>
      <c r="E165" s="661"/>
      <c r="F165" s="1170">
        <v>1</v>
      </c>
      <c r="G165" s="1171">
        <v>0</v>
      </c>
      <c r="H165" s="1155">
        <f>ROUND(G165*F165,2)</f>
        <v>0</v>
      </c>
      <c r="I165" s="1173">
        <f>SUMIF(E163:E165, "&gt;="&amp;1, H163:H165)</f>
        <v>0</v>
      </c>
      <c r="J165" s="1174">
        <f t="shared" si="128"/>
        <v>0</v>
      </c>
      <c r="K165" s="1173">
        <f>J163+J164+J165</f>
        <v>0</v>
      </c>
      <c r="L165" s="1175">
        <f t="shared" si="127"/>
        <v>30</v>
      </c>
      <c r="M165" s="1176">
        <f t="shared" si="129"/>
        <v>0</v>
      </c>
      <c r="N165" s="1177">
        <f t="shared" si="130"/>
        <v>0</v>
      </c>
      <c r="O165" s="1173">
        <f>IF(J163&gt;0, (N163+N164+N165)*1, 0)</f>
        <v>0</v>
      </c>
      <c r="P165" s="1178">
        <f t="shared" si="131"/>
        <v>0</v>
      </c>
      <c r="Q165" s="1179">
        <f>IF(M163&gt;0, (P163+P164+P165)*1, 0)</f>
        <v>0</v>
      </c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35.25" customHeight="1">
      <c r="A166" s="1186" t="s">
        <v>1155</v>
      </c>
      <c r="B166" s="1187" t="str">
        <f t="shared" si="144"/>
        <v>SANTA-MARIA__SM-RT</v>
      </c>
      <c r="C166" s="1188"/>
      <c r="D166" s="1199"/>
      <c r="E166" s="1189"/>
      <c r="F166" s="1200"/>
      <c r="G166" s="1191"/>
      <c r="H166" s="1192"/>
      <c r="I166" s="1193">
        <f>SUM(I145:I165)</f>
        <v>0</v>
      </c>
      <c r="J166" s="1193">
        <f t="shared" ref="J166:K166" si="145">(J145+J146+J147+J157+J158+J159+J160+J161+J162+J163+J164+J165)</f>
        <v>0</v>
      </c>
      <c r="K166" s="1193">
        <f t="shared" si="145"/>
        <v>0</v>
      </c>
      <c r="L166" s="1201"/>
      <c r="M166" s="1202"/>
      <c r="N166" s="1193">
        <f t="shared" ref="N166:Q166" si="146">(N145+N146+N147+N157+N158+N159+N160+N161+N162+N163+N164+N165)</f>
        <v>0</v>
      </c>
      <c r="O166" s="1193">
        <f t="shared" si="146"/>
        <v>0</v>
      </c>
      <c r="P166" s="1202">
        <f t="shared" si="146"/>
        <v>0</v>
      </c>
      <c r="Q166" s="1193">
        <f t="shared" si="146"/>
        <v>0</v>
      </c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hidden="1" customHeight="1">
      <c r="A167" s="1132" t="s">
        <v>1133</v>
      </c>
      <c r="B167" s="582" t="s">
        <v>1133</v>
      </c>
      <c r="C167" s="1195"/>
      <c r="D167" s="13"/>
      <c r="E167" s="13"/>
      <c r="F167" s="13"/>
      <c r="G167" s="1197"/>
      <c r="H167" s="1155"/>
      <c r="I167" s="594" t="s">
        <v>1133</v>
      </c>
      <c r="J167" s="1198" t="s">
        <v>1133</v>
      </c>
      <c r="K167" s="594"/>
      <c r="L167" s="1157">
        <f t="shared" ref="L167:L168" si="147">L164</f>
        <v>0</v>
      </c>
      <c r="M167" s="13" t="s">
        <v>1133</v>
      </c>
      <c r="N167" s="592" t="s">
        <v>1133</v>
      </c>
      <c r="O167" s="594" t="s">
        <v>1133</v>
      </c>
      <c r="P167" s="13" t="s">
        <v>1133</v>
      </c>
      <c r="Q167" s="1198" t="s">
        <v>1133</v>
      </c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34.5" customHeight="1">
      <c r="A168" s="1132" t="s">
        <v>325</v>
      </c>
      <c r="B168" s="1149" t="str">
        <f>'CAMPUS.CONTRATANTE'!D17</f>
        <v>SANTA-ROSA__SR</v>
      </c>
      <c r="C168" s="1150" t="s">
        <v>3</v>
      </c>
      <c r="D168" s="1151">
        <v>200</v>
      </c>
      <c r="E168" s="1152">
        <v>2</v>
      </c>
      <c r="F168" s="1153">
        <v>1</v>
      </c>
      <c r="G168" s="1154">
        <v>6985.3</v>
      </c>
      <c r="H168" s="1155">
        <f>ROUND(G168*F168,2)</f>
        <v>6985.3</v>
      </c>
      <c r="I168" s="659"/>
      <c r="J168" s="1156">
        <f t="shared" ref="J168:J188" si="148">H168*E168</f>
        <v>13970.6</v>
      </c>
      <c r="K168" s="659"/>
      <c r="L168" s="1157">
        <f t="shared" si="147"/>
        <v>30</v>
      </c>
      <c r="M168" s="1158">
        <f t="shared" ref="M168:M188" si="149">L168*E168</f>
        <v>60</v>
      </c>
      <c r="N168" s="1159">
        <f t="shared" ref="N168:N188" si="150">J168*12</f>
        <v>167647.20000000001</v>
      </c>
      <c r="O168" s="659"/>
      <c r="P168" s="1160">
        <f t="shared" ref="P168:P188" si="151">J168*L168</f>
        <v>419118</v>
      </c>
      <c r="Q168" s="1161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34.5" customHeight="1">
      <c r="A169" s="1132" t="s">
        <v>1133</v>
      </c>
      <c r="B169" s="1149" t="str">
        <f t="shared" ref="B169:B170" si="152">B168</f>
        <v>SANTA-ROSA__SR</v>
      </c>
      <c r="C169" s="1162" t="s">
        <v>1141</v>
      </c>
      <c r="D169" s="1163">
        <v>200</v>
      </c>
      <c r="E169" s="1152">
        <v>2</v>
      </c>
      <c r="F169" s="1164">
        <v>1</v>
      </c>
      <c r="G169" s="1154">
        <v>0</v>
      </c>
      <c r="H169" s="1165">
        <f>G169*F169</f>
        <v>0</v>
      </c>
      <c r="I169" s="647"/>
      <c r="J169" s="1156">
        <f t="shared" si="148"/>
        <v>0</v>
      </c>
      <c r="K169" s="647"/>
      <c r="L169" s="1157">
        <f t="shared" ref="L169:L170" si="153">L168</f>
        <v>30</v>
      </c>
      <c r="M169" s="1158">
        <f t="shared" si="149"/>
        <v>60</v>
      </c>
      <c r="N169" s="1159">
        <f t="shared" si="150"/>
        <v>0</v>
      </c>
      <c r="O169" s="647"/>
      <c r="P169" s="1160">
        <f t="shared" si="151"/>
        <v>0</v>
      </c>
      <c r="Q169" s="1166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34.5" customHeight="1">
      <c r="A170" s="1132" t="s">
        <v>1133</v>
      </c>
      <c r="B170" s="1167" t="str">
        <f t="shared" si="152"/>
        <v>SANTA-ROSA__SR</v>
      </c>
      <c r="C170" s="1168" t="s">
        <v>1142</v>
      </c>
      <c r="D170" s="1169">
        <v>200</v>
      </c>
      <c r="E170" s="661">
        <v>2</v>
      </c>
      <c r="F170" s="1170">
        <v>1</v>
      </c>
      <c r="G170" s="1171">
        <v>0</v>
      </c>
      <c r="H170" s="1172">
        <f t="shared" ref="H170:H171" si="154">ROUND(G170*F170,2)</f>
        <v>0</v>
      </c>
      <c r="I170" s="1173">
        <f>SUMIF(E168:E170, "&gt;="&amp;1, H168:H170)</f>
        <v>6985.3</v>
      </c>
      <c r="J170" s="1174">
        <f t="shared" si="148"/>
        <v>0</v>
      </c>
      <c r="K170" s="1173">
        <f>J168+J169+J170</f>
        <v>13970.6</v>
      </c>
      <c r="L170" s="1175">
        <f t="shared" si="153"/>
        <v>30</v>
      </c>
      <c r="M170" s="1176">
        <f t="shared" si="149"/>
        <v>60</v>
      </c>
      <c r="N170" s="1177">
        <f t="shared" si="150"/>
        <v>0</v>
      </c>
      <c r="O170" s="1173">
        <f>IF(J168&gt;0, (N168+N169+N170)*1, 0)</f>
        <v>167647.20000000001</v>
      </c>
      <c r="P170" s="1178">
        <f t="shared" si="151"/>
        <v>0</v>
      </c>
      <c r="Q170" s="1179">
        <f>IF(M168&gt;0, (P168+P169+P170)*1, 0)</f>
        <v>419118</v>
      </c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34.5" hidden="1" customHeight="1" outlineLevel="1">
      <c r="A171" s="1132" t="s">
        <v>1133</v>
      </c>
      <c r="B171" s="1149" t="str">
        <f>B168</f>
        <v>SANTA-ROSA__SR</v>
      </c>
      <c r="C171" s="1180" t="s">
        <v>4</v>
      </c>
      <c r="D171" s="1181">
        <v>100</v>
      </c>
      <c r="E171" s="1182"/>
      <c r="F171" s="1164">
        <v>1</v>
      </c>
      <c r="G171" s="1183">
        <v>4447.42</v>
      </c>
      <c r="H171" s="1184">
        <f t="shared" si="154"/>
        <v>4447.42</v>
      </c>
      <c r="I171" s="659"/>
      <c r="J171" s="1156">
        <f t="shared" si="148"/>
        <v>0</v>
      </c>
      <c r="K171" s="659"/>
      <c r="L171" s="1157">
        <f t="shared" ref="L171:L188" si="155">L168</f>
        <v>30</v>
      </c>
      <c r="M171" s="1158">
        <f t="shared" si="149"/>
        <v>0</v>
      </c>
      <c r="N171" s="1159">
        <f t="shared" si="150"/>
        <v>0</v>
      </c>
      <c r="O171" s="659"/>
      <c r="P171" s="1160">
        <f t="shared" si="151"/>
        <v>0</v>
      </c>
      <c r="Q171" s="1161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34.5" hidden="1" customHeight="1" outlineLevel="1">
      <c r="A172" s="1132" t="s">
        <v>1133</v>
      </c>
      <c r="B172" s="1149" t="str">
        <f t="shared" ref="B172:B173" si="156">B171</f>
        <v>SANTA-ROSA__SR</v>
      </c>
      <c r="C172" s="1185" t="s">
        <v>1143</v>
      </c>
      <c r="D172" s="1163">
        <v>100</v>
      </c>
      <c r="E172" s="1182"/>
      <c r="F172" s="1164">
        <v>1</v>
      </c>
      <c r="G172" s="1183">
        <v>0</v>
      </c>
      <c r="H172" s="1165">
        <f>G172*F172</f>
        <v>0</v>
      </c>
      <c r="I172" s="647"/>
      <c r="J172" s="1156">
        <f t="shared" si="148"/>
        <v>0</v>
      </c>
      <c r="K172" s="647"/>
      <c r="L172" s="1157">
        <f t="shared" si="155"/>
        <v>30</v>
      </c>
      <c r="M172" s="1158">
        <f t="shared" si="149"/>
        <v>0</v>
      </c>
      <c r="N172" s="1159">
        <f t="shared" si="150"/>
        <v>0</v>
      </c>
      <c r="O172" s="647"/>
      <c r="P172" s="1160">
        <f t="shared" si="151"/>
        <v>0</v>
      </c>
      <c r="Q172" s="1166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34.5" hidden="1" customHeight="1" outlineLevel="1">
      <c r="A173" s="1132" t="s">
        <v>1133</v>
      </c>
      <c r="B173" s="1167" t="str">
        <f t="shared" si="156"/>
        <v>SANTA-ROSA__SR</v>
      </c>
      <c r="C173" s="1168" t="s">
        <v>1144</v>
      </c>
      <c r="D173" s="1169">
        <v>100</v>
      </c>
      <c r="E173" s="661"/>
      <c r="F173" s="1170">
        <v>1</v>
      </c>
      <c r="G173" s="1171">
        <v>0</v>
      </c>
      <c r="H173" s="1172">
        <f t="shared" ref="H173:H174" si="157">ROUND(G173*F173,2)</f>
        <v>0</v>
      </c>
      <c r="I173" s="1173">
        <f>SUMIF(E171:E173, "&gt;="&amp;1, H171:H173)</f>
        <v>0</v>
      </c>
      <c r="J173" s="1174">
        <f t="shared" si="148"/>
        <v>0</v>
      </c>
      <c r="K173" s="1173">
        <f>J171+J172+J173</f>
        <v>0</v>
      </c>
      <c r="L173" s="1175">
        <f t="shared" si="155"/>
        <v>30</v>
      </c>
      <c r="M173" s="1176">
        <f t="shared" si="149"/>
        <v>0</v>
      </c>
      <c r="N173" s="1177">
        <f t="shared" si="150"/>
        <v>0</v>
      </c>
      <c r="O173" s="1173">
        <f>IF(J171&gt;0, (N171+N172+N173)*1, 0)</f>
        <v>0</v>
      </c>
      <c r="P173" s="1178">
        <f t="shared" si="151"/>
        <v>0</v>
      </c>
      <c r="Q173" s="1179">
        <f>IF(M171&gt;0, (P171+P172+P173)*1, 0)</f>
        <v>0</v>
      </c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34.5" customHeight="1" outlineLevel="1">
      <c r="A174" s="1132" t="s">
        <v>1133</v>
      </c>
      <c r="B174" s="1149" t="str">
        <f>B171</f>
        <v>SANTA-ROSA__SR</v>
      </c>
      <c r="C174" s="1180" t="s">
        <v>5</v>
      </c>
      <c r="D174" s="1181">
        <v>200</v>
      </c>
      <c r="E174" s="1182">
        <v>2</v>
      </c>
      <c r="F174" s="1164">
        <v>1</v>
      </c>
      <c r="G174" s="1183">
        <v>6550.35</v>
      </c>
      <c r="H174" s="1184">
        <f t="shared" si="157"/>
        <v>6550.35</v>
      </c>
      <c r="I174" s="659"/>
      <c r="J174" s="1156">
        <f t="shared" si="148"/>
        <v>13100.7</v>
      </c>
      <c r="K174" s="659"/>
      <c r="L174" s="1157">
        <f t="shared" si="155"/>
        <v>30</v>
      </c>
      <c r="M174" s="1158">
        <f t="shared" si="149"/>
        <v>60</v>
      </c>
      <c r="N174" s="1159">
        <f t="shared" si="150"/>
        <v>157208.40000000002</v>
      </c>
      <c r="O174" s="659"/>
      <c r="P174" s="1160">
        <f t="shared" si="151"/>
        <v>393021</v>
      </c>
      <c r="Q174" s="1161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34.5" customHeight="1" outlineLevel="1">
      <c r="A175" s="1132" t="s">
        <v>1133</v>
      </c>
      <c r="B175" s="1149" t="str">
        <f t="shared" ref="B175:B176" si="158">B174</f>
        <v>SANTA-ROSA__SR</v>
      </c>
      <c r="C175" s="1185" t="s">
        <v>1145</v>
      </c>
      <c r="D175" s="1163">
        <v>200</v>
      </c>
      <c r="E175" s="1182">
        <v>2</v>
      </c>
      <c r="F175" s="1164">
        <v>1</v>
      </c>
      <c r="G175" s="1183">
        <v>0</v>
      </c>
      <c r="H175" s="1165">
        <f>G175*F175</f>
        <v>0</v>
      </c>
      <c r="I175" s="647"/>
      <c r="J175" s="1156">
        <f t="shared" si="148"/>
        <v>0</v>
      </c>
      <c r="K175" s="647"/>
      <c r="L175" s="1157">
        <f t="shared" si="155"/>
        <v>30</v>
      </c>
      <c r="M175" s="1158">
        <f t="shared" si="149"/>
        <v>60</v>
      </c>
      <c r="N175" s="1159">
        <f t="shared" si="150"/>
        <v>0</v>
      </c>
      <c r="O175" s="647"/>
      <c r="P175" s="1160">
        <f t="shared" si="151"/>
        <v>0</v>
      </c>
      <c r="Q175" s="1166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34.5" customHeight="1" outlineLevel="1">
      <c r="A176" s="1132" t="s">
        <v>1133</v>
      </c>
      <c r="B176" s="1167" t="str">
        <f t="shared" si="158"/>
        <v>SANTA-ROSA__SR</v>
      </c>
      <c r="C176" s="1168" t="s">
        <v>1146</v>
      </c>
      <c r="D176" s="1169">
        <v>200</v>
      </c>
      <c r="E176" s="661">
        <v>2</v>
      </c>
      <c r="F176" s="1170">
        <v>1</v>
      </c>
      <c r="G176" s="1171">
        <v>0</v>
      </c>
      <c r="H176" s="1172">
        <f t="shared" ref="H176:H177" si="159">ROUND(G176*F176,2)</f>
        <v>0</v>
      </c>
      <c r="I176" s="1173">
        <f>SUMIF(E174:E176, "&gt;="&amp;1, H174:H176)</f>
        <v>6550.35</v>
      </c>
      <c r="J176" s="1174">
        <f t="shared" si="148"/>
        <v>0</v>
      </c>
      <c r="K176" s="1173">
        <f>J174+J175+J176</f>
        <v>13100.7</v>
      </c>
      <c r="L176" s="1175">
        <f t="shared" si="155"/>
        <v>30</v>
      </c>
      <c r="M176" s="1176">
        <f t="shared" si="149"/>
        <v>60</v>
      </c>
      <c r="N176" s="1177">
        <f t="shared" si="150"/>
        <v>0</v>
      </c>
      <c r="O176" s="1173">
        <f>IF(J174&gt;0, (N174+N175+N176)*1, 0)</f>
        <v>157208.40000000002</v>
      </c>
      <c r="P176" s="1178">
        <f t="shared" si="151"/>
        <v>0</v>
      </c>
      <c r="Q176" s="1179">
        <f>IF(M174&gt;0, (P174+P175+P176)*1, 0)</f>
        <v>393021</v>
      </c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34.5" customHeight="1" outlineLevel="1">
      <c r="A177" s="1132" t="s">
        <v>1133</v>
      </c>
      <c r="B177" s="1149" t="str">
        <f>B174</f>
        <v>SANTA-ROSA__SR</v>
      </c>
      <c r="C177" s="1180" t="s">
        <v>6</v>
      </c>
      <c r="D177" s="1163">
        <v>100</v>
      </c>
      <c r="E177" s="1182">
        <v>1</v>
      </c>
      <c r="F177" s="1164">
        <v>1</v>
      </c>
      <c r="G177" s="1154">
        <v>3908.21</v>
      </c>
      <c r="H177" s="1184">
        <f t="shared" si="159"/>
        <v>3908.21</v>
      </c>
      <c r="I177" s="659"/>
      <c r="J177" s="1156">
        <f t="shared" si="148"/>
        <v>3908.21</v>
      </c>
      <c r="K177" s="659"/>
      <c r="L177" s="1157">
        <f t="shared" si="155"/>
        <v>30</v>
      </c>
      <c r="M177" s="1158">
        <f t="shared" si="149"/>
        <v>30</v>
      </c>
      <c r="N177" s="1159">
        <f t="shared" si="150"/>
        <v>46898.520000000004</v>
      </c>
      <c r="O177" s="659"/>
      <c r="P177" s="1160">
        <f t="shared" si="151"/>
        <v>117246.3</v>
      </c>
      <c r="Q177" s="1161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34.5" customHeight="1" outlineLevel="1">
      <c r="A178" s="1132" t="s">
        <v>1133</v>
      </c>
      <c r="B178" s="1149" t="str">
        <f t="shared" ref="B178:B179" si="160">B177</f>
        <v>SANTA-ROSA__SR</v>
      </c>
      <c r="C178" s="1185" t="s">
        <v>1147</v>
      </c>
      <c r="D178" s="1163">
        <v>200</v>
      </c>
      <c r="E178" s="1182">
        <v>1</v>
      </c>
      <c r="F178" s="1164">
        <v>1</v>
      </c>
      <c r="G178" s="1154">
        <v>0</v>
      </c>
      <c r="H178" s="1165">
        <f>G178*F178</f>
        <v>0</v>
      </c>
      <c r="I178" s="647"/>
      <c r="J178" s="1156">
        <f t="shared" si="148"/>
        <v>0</v>
      </c>
      <c r="K178" s="647"/>
      <c r="L178" s="1157">
        <f t="shared" si="155"/>
        <v>30</v>
      </c>
      <c r="M178" s="1158">
        <f t="shared" si="149"/>
        <v>30</v>
      </c>
      <c r="N178" s="1159">
        <f t="shared" si="150"/>
        <v>0</v>
      </c>
      <c r="O178" s="647"/>
      <c r="P178" s="1160">
        <f t="shared" si="151"/>
        <v>0</v>
      </c>
      <c r="Q178" s="1166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34.5" customHeight="1" outlineLevel="1">
      <c r="A179" s="1132" t="s">
        <v>1133</v>
      </c>
      <c r="B179" s="1167" t="str">
        <f t="shared" si="160"/>
        <v>SANTA-ROSA__SR</v>
      </c>
      <c r="C179" s="1168" t="s">
        <v>1148</v>
      </c>
      <c r="D179" s="1169">
        <v>100</v>
      </c>
      <c r="E179" s="661">
        <v>1</v>
      </c>
      <c r="F179" s="1170">
        <v>1</v>
      </c>
      <c r="G179" s="1171">
        <v>0</v>
      </c>
      <c r="H179" s="1172">
        <f t="shared" ref="H179:H180" si="161">ROUND(G179*F179,2)</f>
        <v>0</v>
      </c>
      <c r="I179" s="1173">
        <f>SUMIF(E177:E179, "&gt;="&amp;1, H177:H179)</f>
        <v>3908.21</v>
      </c>
      <c r="J179" s="1174">
        <f t="shared" si="148"/>
        <v>0</v>
      </c>
      <c r="K179" s="1173">
        <f>J177+J178+J179</f>
        <v>3908.21</v>
      </c>
      <c r="L179" s="1175">
        <f t="shared" si="155"/>
        <v>30</v>
      </c>
      <c r="M179" s="1176">
        <f t="shared" si="149"/>
        <v>30</v>
      </c>
      <c r="N179" s="1177">
        <f t="shared" si="150"/>
        <v>0</v>
      </c>
      <c r="O179" s="1173">
        <f>IF(J177&gt;0, (N177+N178+N179)*1, 0)</f>
        <v>46898.520000000004</v>
      </c>
      <c r="P179" s="1178">
        <f t="shared" si="151"/>
        <v>0</v>
      </c>
      <c r="Q179" s="1179">
        <f>IF(M177&gt;0, (P177+P178+P179)*1, 0)</f>
        <v>117246.3</v>
      </c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34.5" hidden="1" customHeight="1" outlineLevel="1">
      <c r="A180" s="1132" t="s">
        <v>1133</v>
      </c>
      <c r="B180" s="1149" t="str">
        <f>B177</f>
        <v>SANTA-ROSA__SR</v>
      </c>
      <c r="C180" s="1180" t="s">
        <v>7</v>
      </c>
      <c r="D180" s="1163">
        <v>200</v>
      </c>
      <c r="E180" s="1182"/>
      <c r="F180" s="1164">
        <v>1</v>
      </c>
      <c r="G180" s="1154">
        <v>12542.649999999998</v>
      </c>
      <c r="H180" s="1184">
        <f t="shared" si="161"/>
        <v>12542.65</v>
      </c>
      <c r="I180" s="659"/>
      <c r="J180" s="1156">
        <f t="shared" si="148"/>
        <v>0</v>
      </c>
      <c r="K180" s="659"/>
      <c r="L180" s="1157">
        <f t="shared" si="155"/>
        <v>30</v>
      </c>
      <c r="M180" s="1158">
        <f t="shared" si="149"/>
        <v>0</v>
      </c>
      <c r="N180" s="1159">
        <f t="shared" si="150"/>
        <v>0</v>
      </c>
      <c r="O180" s="659"/>
      <c r="P180" s="1160">
        <f t="shared" si="151"/>
        <v>0</v>
      </c>
      <c r="Q180" s="1161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34.5" hidden="1" customHeight="1" outlineLevel="1">
      <c r="A181" s="1132" t="s">
        <v>1133</v>
      </c>
      <c r="B181" s="1149" t="str">
        <f t="shared" ref="B181:B182" si="162">B180</f>
        <v>SANTA-ROSA__SR</v>
      </c>
      <c r="C181" s="1185" t="s">
        <v>1149</v>
      </c>
      <c r="D181" s="1163">
        <v>200</v>
      </c>
      <c r="E181" s="1182"/>
      <c r="F181" s="1164">
        <v>1</v>
      </c>
      <c r="G181" s="1154">
        <v>0</v>
      </c>
      <c r="H181" s="1165">
        <f>G181*F181</f>
        <v>0</v>
      </c>
      <c r="I181" s="647"/>
      <c r="J181" s="1156">
        <f t="shared" si="148"/>
        <v>0</v>
      </c>
      <c r="K181" s="647"/>
      <c r="L181" s="1157">
        <f t="shared" si="155"/>
        <v>30</v>
      </c>
      <c r="M181" s="1158">
        <f t="shared" si="149"/>
        <v>0</v>
      </c>
      <c r="N181" s="1159">
        <f t="shared" si="150"/>
        <v>0</v>
      </c>
      <c r="O181" s="647"/>
      <c r="P181" s="1160">
        <f t="shared" si="151"/>
        <v>0</v>
      </c>
      <c r="Q181" s="1166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34.5" hidden="1" customHeight="1" outlineLevel="1">
      <c r="A182" s="1132" t="s">
        <v>1133</v>
      </c>
      <c r="B182" s="1167" t="str">
        <f t="shared" si="162"/>
        <v>SANTA-ROSA__SR</v>
      </c>
      <c r="C182" s="1168" t="s">
        <v>1150</v>
      </c>
      <c r="D182" s="1169">
        <v>200</v>
      </c>
      <c r="E182" s="661"/>
      <c r="F182" s="1170">
        <v>1</v>
      </c>
      <c r="G182" s="1171">
        <v>0</v>
      </c>
      <c r="H182" s="1172">
        <f t="shared" ref="H182:H183" si="163">ROUND(G182*F182,2)</f>
        <v>0</v>
      </c>
      <c r="I182" s="1173">
        <f>SUMIF(E180:E182, "&gt;="&amp;1, H180:H182)</f>
        <v>0</v>
      </c>
      <c r="J182" s="1174">
        <f t="shared" si="148"/>
        <v>0</v>
      </c>
      <c r="K182" s="1173">
        <f>J180+J181+J182</f>
        <v>0</v>
      </c>
      <c r="L182" s="1175">
        <f t="shared" si="155"/>
        <v>30</v>
      </c>
      <c r="M182" s="1176">
        <f t="shared" si="149"/>
        <v>0</v>
      </c>
      <c r="N182" s="1177">
        <f t="shared" si="150"/>
        <v>0</v>
      </c>
      <c r="O182" s="1173">
        <f>IF(J180&gt;0, (N180+N181+N182)*1, 0)</f>
        <v>0</v>
      </c>
      <c r="P182" s="1178">
        <f t="shared" si="151"/>
        <v>0</v>
      </c>
      <c r="Q182" s="1179">
        <f>IF(M180&gt;0, (P180+P181+P182)*1, 0)</f>
        <v>0</v>
      </c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34.5" customHeight="1" outlineLevel="1">
      <c r="A183" s="1132" t="s">
        <v>1133</v>
      </c>
      <c r="B183" s="1149" t="str">
        <f>B177</f>
        <v>SANTA-ROSA__SR</v>
      </c>
      <c r="C183" s="1180" t="s">
        <v>8</v>
      </c>
      <c r="D183" s="1163">
        <v>100</v>
      </c>
      <c r="E183" s="1182">
        <v>1</v>
      </c>
      <c r="F183" s="1164">
        <v>1</v>
      </c>
      <c r="G183" s="1154">
        <v>6953.7900000000009</v>
      </c>
      <c r="H183" s="1184">
        <f t="shared" si="163"/>
        <v>6953.79</v>
      </c>
      <c r="I183" s="659"/>
      <c r="J183" s="1156">
        <f t="shared" si="148"/>
        <v>6953.79</v>
      </c>
      <c r="K183" s="659"/>
      <c r="L183" s="1157">
        <f t="shared" si="155"/>
        <v>30</v>
      </c>
      <c r="M183" s="1158">
        <f t="shared" si="149"/>
        <v>30</v>
      </c>
      <c r="N183" s="1159">
        <f t="shared" si="150"/>
        <v>83445.48</v>
      </c>
      <c r="O183" s="659"/>
      <c r="P183" s="1160">
        <f t="shared" si="151"/>
        <v>208613.7</v>
      </c>
      <c r="Q183" s="1161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34.5" customHeight="1" outlineLevel="1">
      <c r="A184" s="1132" t="s">
        <v>1133</v>
      </c>
      <c r="B184" s="1149" t="str">
        <f t="shared" ref="B184:B185" si="164">B183</f>
        <v>SANTA-ROSA__SR</v>
      </c>
      <c r="C184" s="1185" t="s">
        <v>1151</v>
      </c>
      <c r="D184" s="1163">
        <v>100</v>
      </c>
      <c r="E184" s="1182">
        <v>1</v>
      </c>
      <c r="F184" s="1164">
        <v>1</v>
      </c>
      <c r="G184" s="1154">
        <v>0</v>
      </c>
      <c r="H184" s="1165">
        <f>G184*F184</f>
        <v>0</v>
      </c>
      <c r="I184" s="647"/>
      <c r="J184" s="1156">
        <f t="shared" si="148"/>
        <v>0</v>
      </c>
      <c r="K184" s="647"/>
      <c r="L184" s="1157">
        <f t="shared" si="155"/>
        <v>30</v>
      </c>
      <c r="M184" s="1158">
        <f t="shared" si="149"/>
        <v>30</v>
      </c>
      <c r="N184" s="1159">
        <f t="shared" si="150"/>
        <v>0</v>
      </c>
      <c r="O184" s="647"/>
      <c r="P184" s="1160">
        <f t="shared" si="151"/>
        <v>0</v>
      </c>
      <c r="Q184" s="1166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34.5" customHeight="1" outlineLevel="1">
      <c r="A185" s="1132" t="s">
        <v>325</v>
      </c>
      <c r="B185" s="1167" t="str">
        <f t="shared" si="164"/>
        <v>SANTA-ROSA__SR</v>
      </c>
      <c r="C185" s="1168" t="s">
        <v>1152</v>
      </c>
      <c r="D185" s="1169">
        <v>100</v>
      </c>
      <c r="E185" s="661">
        <v>1</v>
      </c>
      <c r="F185" s="1170">
        <v>1</v>
      </c>
      <c r="G185" s="1171">
        <v>0</v>
      </c>
      <c r="H185" s="1172">
        <f t="shared" ref="H185:H186" si="165">ROUND(G185*F185,2)</f>
        <v>0</v>
      </c>
      <c r="I185" s="1173">
        <f>SUMIF(E183:E185, "&gt;="&amp;1, H183:H185)</f>
        <v>6953.79</v>
      </c>
      <c r="J185" s="1174">
        <f t="shared" si="148"/>
        <v>0</v>
      </c>
      <c r="K185" s="1173">
        <f>J183+J184+J185</f>
        <v>6953.79</v>
      </c>
      <c r="L185" s="1175">
        <f t="shared" si="155"/>
        <v>30</v>
      </c>
      <c r="M185" s="1176">
        <f t="shared" si="149"/>
        <v>30</v>
      </c>
      <c r="N185" s="1177">
        <f t="shared" si="150"/>
        <v>0</v>
      </c>
      <c r="O185" s="1173">
        <f>IF(J183&gt;0, (N183+N184+N185)*1, 0)</f>
        <v>83445.48</v>
      </c>
      <c r="P185" s="1178">
        <f t="shared" si="151"/>
        <v>0</v>
      </c>
      <c r="Q185" s="1179">
        <f>IF(M183&gt;0, (P183+P184+P185)*1, 0)</f>
        <v>208613.7</v>
      </c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34.5" customHeight="1" outlineLevel="1">
      <c r="A186" s="1132" t="s">
        <v>1133</v>
      </c>
      <c r="B186" s="1149" t="str">
        <f>B183</f>
        <v>SANTA-ROSA__SR</v>
      </c>
      <c r="C186" s="1180" t="s">
        <v>9</v>
      </c>
      <c r="D186" s="1163">
        <v>200</v>
      </c>
      <c r="E186" s="1182">
        <v>4</v>
      </c>
      <c r="F186" s="1164">
        <v>1</v>
      </c>
      <c r="G186" s="1154">
        <v>6224.42</v>
      </c>
      <c r="H186" s="1184">
        <f t="shared" si="165"/>
        <v>6224.42</v>
      </c>
      <c r="I186" s="659"/>
      <c r="J186" s="1156">
        <f t="shared" si="148"/>
        <v>24897.68</v>
      </c>
      <c r="K186" s="659"/>
      <c r="L186" s="1157">
        <f t="shared" si="155"/>
        <v>30</v>
      </c>
      <c r="M186" s="1158">
        <f t="shared" si="149"/>
        <v>120</v>
      </c>
      <c r="N186" s="1159">
        <f t="shared" si="150"/>
        <v>298772.16000000003</v>
      </c>
      <c r="O186" s="659"/>
      <c r="P186" s="1160">
        <f t="shared" si="151"/>
        <v>746930.4</v>
      </c>
      <c r="Q186" s="1161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34.5" customHeight="1" outlineLevel="1">
      <c r="A187" s="1132" t="s">
        <v>1133</v>
      </c>
      <c r="B187" s="1149" t="str">
        <f t="shared" ref="B187:B189" si="166">B186</f>
        <v>SANTA-ROSA__SR</v>
      </c>
      <c r="C187" s="1185" t="s">
        <v>1153</v>
      </c>
      <c r="D187" s="1163">
        <v>200</v>
      </c>
      <c r="E187" s="1182">
        <v>4</v>
      </c>
      <c r="F187" s="1164">
        <v>1</v>
      </c>
      <c r="G187" s="1154">
        <v>0</v>
      </c>
      <c r="H187" s="1165">
        <f>G187*F187</f>
        <v>0</v>
      </c>
      <c r="I187" s="647"/>
      <c r="J187" s="1156">
        <f t="shared" si="148"/>
        <v>0</v>
      </c>
      <c r="K187" s="647"/>
      <c r="L187" s="1157">
        <f t="shared" si="155"/>
        <v>30</v>
      </c>
      <c r="M187" s="1158">
        <f t="shared" si="149"/>
        <v>120</v>
      </c>
      <c r="N187" s="1159">
        <f t="shared" si="150"/>
        <v>0</v>
      </c>
      <c r="O187" s="647"/>
      <c r="P187" s="1160">
        <f t="shared" si="151"/>
        <v>0</v>
      </c>
      <c r="Q187" s="1166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34.5" customHeight="1" outlineLevel="1">
      <c r="A188" s="1132" t="s">
        <v>1133</v>
      </c>
      <c r="B188" s="1167" t="str">
        <f t="shared" si="166"/>
        <v>SANTA-ROSA__SR</v>
      </c>
      <c r="C188" s="1168" t="s">
        <v>1154</v>
      </c>
      <c r="D188" s="1169">
        <v>200</v>
      </c>
      <c r="E188" s="661">
        <v>4</v>
      </c>
      <c r="F188" s="1170">
        <v>1</v>
      </c>
      <c r="G188" s="1171">
        <v>0</v>
      </c>
      <c r="H188" s="1155">
        <f>ROUND(G188*F188,2)</f>
        <v>0</v>
      </c>
      <c r="I188" s="1173">
        <f>SUMIF(E186:E188, "&gt;="&amp;1, H186:H188)</f>
        <v>6224.42</v>
      </c>
      <c r="J188" s="1174">
        <f t="shared" si="148"/>
        <v>0</v>
      </c>
      <c r="K188" s="1173">
        <f>J186+J187+J188</f>
        <v>24897.68</v>
      </c>
      <c r="L188" s="1175">
        <f t="shared" si="155"/>
        <v>30</v>
      </c>
      <c r="M188" s="1176">
        <f t="shared" si="149"/>
        <v>120</v>
      </c>
      <c r="N188" s="1177">
        <f t="shared" si="150"/>
        <v>0</v>
      </c>
      <c r="O188" s="1173">
        <f>IF(J186&gt;0, (N186+N187+N188)*1, 0)</f>
        <v>298772.16000000003</v>
      </c>
      <c r="P188" s="1178">
        <f t="shared" si="151"/>
        <v>0</v>
      </c>
      <c r="Q188" s="1179">
        <f>IF(M186&gt;0, (P186+P187+P188)*1, 0)</f>
        <v>746930.4</v>
      </c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35.25" customHeight="1">
      <c r="A189" s="1186" t="s">
        <v>1155</v>
      </c>
      <c r="B189" s="1187" t="str">
        <f t="shared" si="166"/>
        <v>SANTA-ROSA__SR</v>
      </c>
      <c r="C189" s="1188"/>
      <c r="D189" s="1199"/>
      <c r="E189" s="1189"/>
      <c r="F189" s="1200"/>
      <c r="G189" s="1191"/>
      <c r="H189" s="1192"/>
      <c r="I189" s="1193">
        <f t="shared" ref="I189:K189" si="167">SUM(I168:I188)</f>
        <v>30622.07</v>
      </c>
      <c r="J189" s="1193">
        <f t="shared" si="167"/>
        <v>62830.98</v>
      </c>
      <c r="K189" s="1193">
        <f t="shared" si="167"/>
        <v>62830.98</v>
      </c>
      <c r="L189" s="1193"/>
      <c r="M189" s="1193"/>
      <c r="N189" s="1193">
        <f t="shared" ref="N189:Q189" si="168">SUM(N168:N188)</f>
        <v>753971.76</v>
      </c>
      <c r="O189" s="1193">
        <f t="shared" si="168"/>
        <v>753971.76</v>
      </c>
      <c r="P189" s="1193">
        <f t="shared" si="168"/>
        <v>1884929.4</v>
      </c>
      <c r="Q189" s="1193">
        <f t="shared" si="168"/>
        <v>1884929.4</v>
      </c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hidden="1" customHeight="1">
      <c r="A190" s="1132" t="s">
        <v>1133</v>
      </c>
      <c r="B190" s="582" t="s">
        <v>1133</v>
      </c>
      <c r="C190" s="1195"/>
      <c r="D190" s="13"/>
      <c r="E190" s="13"/>
      <c r="F190" s="13"/>
      <c r="G190" s="1197"/>
      <c r="H190" s="1155"/>
      <c r="I190" s="594" t="s">
        <v>1133</v>
      </c>
      <c r="J190" s="1198" t="s">
        <v>1133</v>
      </c>
      <c r="K190" s="594"/>
      <c r="L190" s="1157">
        <f t="shared" ref="L190:L197" si="169">L187</f>
        <v>30</v>
      </c>
      <c r="M190" s="13" t="s">
        <v>1133</v>
      </c>
      <c r="N190" s="592" t="s">
        <v>1133</v>
      </c>
      <c r="O190" s="594" t="s">
        <v>1133</v>
      </c>
      <c r="P190" s="13" t="s">
        <v>1133</v>
      </c>
      <c r="Q190" s="1198" t="s">
        <v>1133</v>
      </c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30.75" hidden="1" customHeight="1">
      <c r="A191" s="1132" t="s">
        <v>325</v>
      </c>
      <c r="B191" s="1149" t="str">
        <f>'CAMPUS.CONTRATANTE'!D18</f>
        <v>SANTIAGO__STG</v>
      </c>
      <c r="C191" s="1150" t="s">
        <v>3</v>
      </c>
      <c r="D191" s="1151">
        <v>200</v>
      </c>
      <c r="E191" s="1152"/>
      <c r="F191" s="1153">
        <v>1</v>
      </c>
      <c r="G191" s="1154">
        <v>6918.74</v>
      </c>
      <c r="H191" s="1155">
        <f>ROUND(G191*F191,2)</f>
        <v>6918.74</v>
      </c>
      <c r="I191" s="659"/>
      <c r="J191" s="1156">
        <f t="shared" ref="J191:J211" si="170">H191*E191</f>
        <v>0</v>
      </c>
      <c r="K191" s="659"/>
      <c r="L191" s="1157">
        <f t="shared" si="169"/>
        <v>30</v>
      </c>
      <c r="M191" s="1158">
        <f t="shared" ref="M191:M211" si="171">L191*E191</f>
        <v>0</v>
      </c>
      <c r="N191" s="1159">
        <f t="shared" ref="N191:N211" si="172">J191*12</f>
        <v>0</v>
      </c>
      <c r="O191" s="659"/>
      <c r="P191" s="1160">
        <f t="shared" ref="P191:P211" si="173">J191*L191</f>
        <v>0</v>
      </c>
      <c r="Q191" s="1161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30.75" hidden="1" customHeight="1">
      <c r="A192" s="1132" t="s">
        <v>1133</v>
      </c>
      <c r="B192" s="1149" t="str">
        <f t="shared" ref="B192:B193" si="174">B191</f>
        <v>SANTIAGO__STG</v>
      </c>
      <c r="C192" s="1162" t="s">
        <v>1141</v>
      </c>
      <c r="D192" s="1163">
        <v>200</v>
      </c>
      <c r="E192" s="1152"/>
      <c r="F192" s="1164">
        <v>1</v>
      </c>
      <c r="G192" s="1154">
        <v>0</v>
      </c>
      <c r="H192" s="1165">
        <f>G192*F192</f>
        <v>0</v>
      </c>
      <c r="I192" s="647"/>
      <c r="J192" s="1156">
        <f t="shared" si="170"/>
        <v>0</v>
      </c>
      <c r="K192" s="647"/>
      <c r="L192" s="1157">
        <f t="shared" si="169"/>
        <v>0</v>
      </c>
      <c r="M192" s="1158">
        <f t="shared" si="171"/>
        <v>0</v>
      </c>
      <c r="N192" s="1159">
        <f t="shared" si="172"/>
        <v>0</v>
      </c>
      <c r="O192" s="647"/>
      <c r="P192" s="1160">
        <f t="shared" si="173"/>
        <v>0</v>
      </c>
      <c r="Q192" s="1166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30.75" hidden="1" customHeight="1">
      <c r="A193" s="1132" t="s">
        <v>1133</v>
      </c>
      <c r="B193" s="1167" t="str">
        <f t="shared" si="174"/>
        <v>SANTIAGO__STG</v>
      </c>
      <c r="C193" s="1168" t="s">
        <v>1142</v>
      </c>
      <c r="D193" s="1169">
        <v>200</v>
      </c>
      <c r="E193" s="661"/>
      <c r="F193" s="1170">
        <v>1</v>
      </c>
      <c r="G193" s="1171">
        <v>0</v>
      </c>
      <c r="H193" s="1172">
        <f t="shared" ref="H193:H194" si="175">ROUND(G193*F193,2)</f>
        <v>0</v>
      </c>
      <c r="I193" s="1173">
        <f>SUMIF(E191:E193, "&gt;="&amp;1, H191:H193)</f>
        <v>0</v>
      </c>
      <c r="J193" s="1174">
        <f t="shared" si="170"/>
        <v>0</v>
      </c>
      <c r="K193" s="1173">
        <f>J191+J192+J193</f>
        <v>0</v>
      </c>
      <c r="L193" s="1175">
        <f t="shared" si="169"/>
        <v>30</v>
      </c>
      <c r="M193" s="1176">
        <f t="shared" si="171"/>
        <v>0</v>
      </c>
      <c r="N193" s="1177">
        <f t="shared" si="172"/>
        <v>0</v>
      </c>
      <c r="O193" s="1173">
        <f>IF(J191&gt;0, (N191+N192+N193)*1, 0)</f>
        <v>0</v>
      </c>
      <c r="P193" s="1178">
        <f t="shared" si="173"/>
        <v>0</v>
      </c>
      <c r="Q193" s="1179">
        <f>IF(M191&gt;0, (P191+P192+P193)*1, 0)</f>
        <v>0</v>
      </c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30.75" hidden="1" customHeight="1">
      <c r="A194" s="1132" t="s">
        <v>1133</v>
      </c>
      <c r="B194" s="1149" t="str">
        <f>B191</f>
        <v>SANTIAGO__STG</v>
      </c>
      <c r="C194" s="1180" t="s">
        <v>4</v>
      </c>
      <c r="D194" s="1181">
        <v>100</v>
      </c>
      <c r="E194" s="1182"/>
      <c r="F194" s="1164">
        <v>1</v>
      </c>
      <c r="G194" s="1183">
        <v>4380.8900000000003</v>
      </c>
      <c r="H194" s="1184">
        <f t="shared" si="175"/>
        <v>4380.8900000000003</v>
      </c>
      <c r="I194" s="659"/>
      <c r="J194" s="1156">
        <f t="shared" si="170"/>
        <v>0</v>
      </c>
      <c r="K194" s="659"/>
      <c r="L194" s="1157">
        <f t="shared" si="169"/>
        <v>30</v>
      </c>
      <c r="M194" s="1158">
        <f t="shared" si="171"/>
        <v>0</v>
      </c>
      <c r="N194" s="1159">
        <f t="shared" si="172"/>
        <v>0</v>
      </c>
      <c r="O194" s="659"/>
      <c r="P194" s="1160">
        <f t="shared" si="173"/>
        <v>0</v>
      </c>
      <c r="Q194" s="1161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30.75" hidden="1" customHeight="1">
      <c r="A195" s="1132" t="s">
        <v>1133</v>
      </c>
      <c r="B195" s="1149" t="str">
        <f t="shared" ref="B195:B196" si="176">B194</f>
        <v>SANTIAGO__STG</v>
      </c>
      <c r="C195" s="1185" t="s">
        <v>1143</v>
      </c>
      <c r="D195" s="1163">
        <v>100</v>
      </c>
      <c r="E195" s="1182"/>
      <c r="F195" s="1164">
        <v>1</v>
      </c>
      <c r="G195" s="1183">
        <v>0</v>
      </c>
      <c r="H195" s="1165">
        <f>G195*F195</f>
        <v>0</v>
      </c>
      <c r="I195" s="647"/>
      <c r="J195" s="1156">
        <f t="shared" si="170"/>
        <v>0</v>
      </c>
      <c r="K195" s="647"/>
      <c r="L195" s="1157">
        <f t="shared" si="169"/>
        <v>0</v>
      </c>
      <c r="M195" s="1158">
        <f t="shared" si="171"/>
        <v>0</v>
      </c>
      <c r="N195" s="1159">
        <f t="shared" si="172"/>
        <v>0</v>
      </c>
      <c r="O195" s="647"/>
      <c r="P195" s="1160">
        <f t="shared" si="173"/>
        <v>0</v>
      </c>
      <c r="Q195" s="1166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30.75" hidden="1" customHeight="1">
      <c r="A196" s="1132" t="s">
        <v>1133</v>
      </c>
      <c r="B196" s="1167" t="str">
        <f t="shared" si="176"/>
        <v>SANTIAGO__STG</v>
      </c>
      <c r="C196" s="1168" t="s">
        <v>1144</v>
      </c>
      <c r="D196" s="1169">
        <v>100</v>
      </c>
      <c r="E196" s="661"/>
      <c r="F196" s="1170">
        <v>1</v>
      </c>
      <c r="G196" s="1171">
        <v>0</v>
      </c>
      <c r="H196" s="1172">
        <f t="shared" ref="H196:H197" si="177">ROUND(G196*F196,2)</f>
        <v>0</v>
      </c>
      <c r="I196" s="1173">
        <f>SUMIF(E194:E196, "&gt;="&amp;1, H194:H196)</f>
        <v>0</v>
      </c>
      <c r="J196" s="1174">
        <f t="shared" si="170"/>
        <v>0</v>
      </c>
      <c r="K196" s="1173">
        <f>J194+J195+J196</f>
        <v>0</v>
      </c>
      <c r="L196" s="1175">
        <f t="shared" si="169"/>
        <v>30</v>
      </c>
      <c r="M196" s="1176">
        <f t="shared" si="171"/>
        <v>0</v>
      </c>
      <c r="N196" s="1177">
        <f t="shared" si="172"/>
        <v>0</v>
      </c>
      <c r="O196" s="1173">
        <f>IF(J194&gt;0, (N194+N195+N196)*1, 0)</f>
        <v>0</v>
      </c>
      <c r="P196" s="1178">
        <f t="shared" si="173"/>
        <v>0</v>
      </c>
      <c r="Q196" s="1179">
        <f>IF(M194&gt;0, (P194+P195+P196)*1, 0)</f>
        <v>0</v>
      </c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30.75" customHeight="1">
      <c r="A197" s="1132" t="s">
        <v>1133</v>
      </c>
      <c r="B197" s="1149" t="str">
        <f>B194</f>
        <v>SANTIAGO__STG</v>
      </c>
      <c r="C197" s="1180" t="s">
        <v>5</v>
      </c>
      <c r="D197" s="1181">
        <v>200</v>
      </c>
      <c r="E197" s="1182">
        <v>1</v>
      </c>
      <c r="F197" s="1164">
        <v>1</v>
      </c>
      <c r="G197" s="1183">
        <v>6483.8</v>
      </c>
      <c r="H197" s="1184">
        <f t="shared" si="177"/>
        <v>6483.8</v>
      </c>
      <c r="I197" s="659"/>
      <c r="J197" s="1156">
        <f t="shared" si="170"/>
        <v>6483.8</v>
      </c>
      <c r="K197" s="659"/>
      <c r="L197" s="1157">
        <f t="shared" si="169"/>
        <v>30</v>
      </c>
      <c r="M197" s="1158">
        <f t="shared" si="171"/>
        <v>30</v>
      </c>
      <c r="N197" s="1159">
        <f t="shared" si="172"/>
        <v>77805.600000000006</v>
      </c>
      <c r="O197" s="659"/>
      <c r="P197" s="1160">
        <f t="shared" si="173"/>
        <v>194514</v>
      </c>
      <c r="Q197" s="1161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30.75" customHeight="1">
      <c r="A198" s="1132" t="s">
        <v>1133</v>
      </c>
      <c r="B198" s="1149" t="str">
        <f t="shared" ref="B198:B199" si="178">B197</f>
        <v>SANTIAGO__STG</v>
      </c>
      <c r="C198" s="1185" t="s">
        <v>1145</v>
      </c>
      <c r="D198" s="1163">
        <v>200</v>
      </c>
      <c r="E198" s="1182">
        <v>1</v>
      </c>
      <c r="F198" s="1164">
        <v>1</v>
      </c>
      <c r="G198" s="1183">
        <v>0</v>
      </c>
      <c r="H198" s="1165">
        <f>G198*F198</f>
        <v>0</v>
      </c>
      <c r="I198" s="647"/>
      <c r="J198" s="1156">
        <f t="shared" si="170"/>
        <v>0</v>
      </c>
      <c r="K198" s="647"/>
      <c r="L198" s="1157">
        <f>L197</f>
        <v>30</v>
      </c>
      <c r="M198" s="1158">
        <f t="shared" si="171"/>
        <v>30</v>
      </c>
      <c r="N198" s="1159">
        <f t="shared" si="172"/>
        <v>0</v>
      </c>
      <c r="O198" s="647"/>
      <c r="P198" s="1160">
        <f t="shared" si="173"/>
        <v>0</v>
      </c>
      <c r="Q198" s="1166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30.75" customHeight="1">
      <c r="A199" s="1132" t="s">
        <v>1133</v>
      </c>
      <c r="B199" s="1167" t="str">
        <f t="shared" si="178"/>
        <v>SANTIAGO__STG</v>
      </c>
      <c r="C199" s="1168" t="s">
        <v>1146</v>
      </c>
      <c r="D199" s="1169">
        <v>200</v>
      </c>
      <c r="E199" s="661">
        <v>1</v>
      </c>
      <c r="F199" s="1170">
        <v>1</v>
      </c>
      <c r="G199" s="1171">
        <v>181.14</v>
      </c>
      <c r="H199" s="1172">
        <f t="shared" ref="H199:H200" si="179">ROUND(G199*F199,2)</f>
        <v>181.14</v>
      </c>
      <c r="I199" s="1173">
        <f>SUMIF(E197:E199, "&gt;="&amp;1, H197:H199)</f>
        <v>6664.9400000000005</v>
      </c>
      <c r="J199" s="1174">
        <f t="shared" si="170"/>
        <v>181.14</v>
      </c>
      <c r="K199" s="1173">
        <f>J197+J198+J199</f>
        <v>6664.9400000000005</v>
      </c>
      <c r="L199" s="1175">
        <f t="shared" ref="L199:L211" si="180">L196</f>
        <v>30</v>
      </c>
      <c r="M199" s="1176">
        <f t="shared" si="171"/>
        <v>30</v>
      </c>
      <c r="N199" s="1177">
        <f t="shared" si="172"/>
        <v>2173.6799999999998</v>
      </c>
      <c r="O199" s="1173">
        <f>IF(J197&gt;0, (N197+N198+N199)*1, 0)</f>
        <v>79979.28</v>
      </c>
      <c r="P199" s="1178">
        <f t="shared" si="173"/>
        <v>5434.2</v>
      </c>
      <c r="Q199" s="1179">
        <f>IF(M197&gt;0, (P197+P198+P199)*1, 0)</f>
        <v>199948.2</v>
      </c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30.75" hidden="1" customHeight="1">
      <c r="A200" s="1132" t="s">
        <v>1133</v>
      </c>
      <c r="B200" s="1149" t="str">
        <f>B197</f>
        <v>SANTIAGO__STG</v>
      </c>
      <c r="C200" s="1180" t="s">
        <v>6</v>
      </c>
      <c r="D200" s="1163">
        <v>100</v>
      </c>
      <c r="E200" s="1182"/>
      <c r="F200" s="1164">
        <v>1</v>
      </c>
      <c r="G200" s="1154">
        <v>3841.66</v>
      </c>
      <c r="H200" s="1184">
        <f t="shared" si="179"/>
        <v>3841.66</v>
      </c>
      <c r="I200" s="659"/>
      <c r="J200" s="1156">
        <f t="shared" si="170"/>
        <v>0</v>
      </c>
      <c r="K200" s="659"/>
      <c r="L200" s="1157">
        <f t="shared" si="180"/>
        <v>30</v>
      </c>
      <c r="M200" s="1158">
        <f t="shared" si="171"/>
        <v>0</v>
      </c>
      <c r="N200" s="1159">
        <f t="shared" si="172"/>
        <v>0</v>
      </c>
      <c r="O200" s="659"/>
      <c r="P200" s="1160">
        <f t="shared" si="173"/>
        <v>0</v>
      </c>
      <c r="Q200" s="1161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30.75" hidden="1" customHeight="1">
      <c r="A201" s="1132" t="s">
        <v>1133</v>
      </c>
      <c r="B201" s="1149" t="str">
        <f t="shared" ref="B201:B202" si="181">B200</f>
        <v>SANTIAGO__STG</v>
      </c>
      <c r="C201" s="1185" t="s">
        <v>1147</v>
      </c>
      <c r="D201" s="1163">
        <v>200</v>
      </c>
      <c r="E201" s="1182"/>
      <c r="F201" s="1164">
        <v>1</v>
      </c>
      <c r="G201" s="1154">
        <v>0</v>
      </c>
      <c r="H201" s="1165">
        <f>G201*F201</f>
        <v>0</v>
      </c>
      <c r="I201" s="647"/>
      <c r="J201" s="1156">
        <f t="shared" si="170"/>
        <v>0</v>
      </c>
      <c r="K201" s="647"/>
      <c r="L201" s="1157">
        <f t="shared" si="180"/>
        <v>30</v>
      </c>
      <c r="M201" s="1158">
        <f t="shared" si="171"/>
        <v>0</v>
      </c>
      <c r="N201" s="1159">
        <f t="shared" si="172"/>
        <v>0</v>
      </c>
      <c r="O201" s="647"/>
      <c r="P201" s="1160">
        <f t="shared" si="173"/>
        <v>0</v>
      </c>
      <c r="Q201" s="1166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30.75" hidden="1" customHeight="1">
      <c r="A202" s="1132" t="s">
        <v>1133</v>
      </c>
      <c r="B202" s="1167" t="str">
        <f t="shared" si="181"/>
        <v>SANTIAGO__STG</v>
      </c>
      <c r="C202" s="1168" t="s">
        <v>1148</v>
      </c>
      <c r="D202" s="1169">
        <v>100</v>
      </c>
      <c r="E202" s="661"/>
      <c r="F202" s="1170">
        <v>1</v>
      </c>
      <c r="G202" s="1171">
        <v>0</v>
      </c>
      <c r="H202" s="1172">
        <f t="shared" ref="H202:H203" si="182">ROUND(G202*F202,2)</f>
        <v>0</v>
      </c>
      <c r="I202" s="1173">
        <f>SUMIF(E200:E202, "&gt;="&amp;1, H200:H202)</f>
        <v>0</v>
      </c>
      <c r="J202" s="1174">
        <f t="shared" si="170"/>
        <v>0</v>
      </c>
      <c r="K202" s="1173">
        <f>J200+J201+J202</f>
        <v>0</v>
      </c>
      <c r="L202" s="1175">
        <f t="shared" si="180"/>
        <v>30</v>
      </c>
      <c r="M202" s="1176">
        <f t="shared" si="171"/>
        <v>0</v>
      </c>
      <c r="N202" s="1177">
        <f t="shared" si="172"/>
        <v>0</v>
      </c>
      <c r="O202" s="1173">
        <f>IF(J200&gt;0, (N200+N201+N202)*1, 0)</f>
        <v>0</v>
      </c>
      <c r="P202" s="1178">
        <f t="shared" si="173"/>
        <v>0</v>
      </c>
      <c r="Q202" s="1179">
        <f>IF(M200&gt;0, (P200+P201+P202)*1, 0)</f>
        <v>0</v>
      </c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30.75" hidden="1" customHeight="1" outlineLevel="1">
      <c r="A203" s="1132" t="s">
        <v>1133</v>
      </c>
      <c r="B203" s="1149" t="str">
        <f>B200</f>
        <v>SANTIAGO__STG</v>
      </c>
      <c r="C203" s="1180" t="s">
        <v>7</v>
      </c>
      <c r="D203" s="1163">
        <v>200</v>
      </c>
      <c r="E203" s="1182"/>
      <c r="F203" s="1164">
        <v>1</v>
      </c>
      <c r="G203" s="1154">
        <v>12554.869999999999</v>
      </c>
      <c r="H203" s="1184">
        <f t="shared" si="182"/>
        <v>12554.87</v>
      </c>
      <c r="I203" s="659"/>
      <c r="J203" s="1156">
        <f t="shared" si="170"/>
        <v>0</v>
      </c>
      <c r="K203" s="659"/>
      <c r="L203" s="1157">
        <f t="shared" si="180"/>
        <v>30</v>
      </c>
      <c r="M203" s="1158">
        <f t="shared" si="171"/>
        <v>0</v>
      </c>
      <c r="N203" s="1159">
        <f t="shared" si="172"/>
        <v>0</v>
      </c>
      <c r="O203" s="659"/>
      <c r="P203" s="1160">
        <f t="shared" si="173"/>
        <v>0</v>
      </c>
      <c r="Q203" s="1161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30.75" hidden="1" customHeight="1" outlineLevel="1">
      <c r="A204" s="1132" t="s">
        <v>1133</v>
      </c>
      <c r="B204" s="1149" t="str">
        <f t="shared" ref="B204:B205" si="183">B203</f>
        <v>SANTIAGO__STG</v>
      </c>
      <c r="C204" s="1185" t="s">
        <v>1149</v>
      </c>
      <c r="D204" s="1163">
        <v>200</v>
      </c>
      <c r="E204" s="1182"/>
      <c r="F204" s="1164">
        <v>1</v>
      </c>
      <c r="G204" s="1154">
        <v>0</v>
      </c>
      <c r="H204" s="1165">
        <f>G204*F204</f>
        <v>0</v>
      </c>
      <c r="I204" s="647"/>
      <c r="J204" s="1156">
        <f t="shared" si="170"/>
        <v>0</v>
      </c>
      <c r="K204" s="647"/>
      <c r="L204" s="1157">
        <f t="shared" si="180"/>
        <v>30</v>
      </c>
      <c r="M204" s="1158">
        <f t="shared" si="171"/>
        <v>0</v>
      </c>
      <c r="N204" s="1159">
        <f t="shared" si="172"/>
        <v>0</v>
      </c>
      <c r="O204" s="647"/>
      <c r="P204" s="1160">
        <f t="shared" si="173"/>
        <v>0</v>
      </c>
      <c r="Q204" s="1166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30.75" hidden="1" customHeight="1" outlineLevel="1">
      <c r="A205" s="1132" t="s">
        <v>1133</v>
      </c>
      <c r="B205" s="1167" t="str">
        <f t="shared" si="183"/>
        <v>SANTIAGO__STG</v>
      </c>
      <c r="C205" s="1168" t="s">
        <v>1150</v>
      </c>
      <c r="D205" s="1169">
        <v>200</v>
      </c>
      <c r="E205" s="661"/>
      <c r="F205" s="1170">
        <v>1</v>
      </c>
      <c r="G205" s="1171">
        <v>0</v>
      </c>
      <c r="H205" s="1172">
        <f t="shared" ref="H205:H206" si="184">ROUND(G205*F205,2)</f>
        <v>0</v>
      </c>
      <c r="I205" s="1173">
        <f>SUMIF(E203:E205, "&gt;="&amp;1, H203:H205)</f>
        <v>0</v>
      </c>
      <c r="J205" s="1174">
        <f t="shared" si="170"/>
        <v>0</v>
      </c>
      <c r="K205" s="1173">
        <f>J203+J204+J205</f>
        <v>0</v>
      </c>
      <c r="L205" s="1175">
        <f t="shared" si="180"/>
        <v>30</v>
      </c>
      <c r="M205" s="1176">
        <f t="shared" si="171"/>
        <v>0</v>
      </c>
      <c r="N205" s="1177">
        <f t="shared" si="172"/>
        <v>0</v>
      </c>
      <c r="O205" s="1173">
        <f>IF(J203&gt;0, (N203+N204+N205)*1, 0)</f>
        <v>0</v>
      </c>
      <c r="P205" s="1178">
        <f t="shared" si="173"/>
        <v>0</v>
      </c>
      <c r="Q205" s="1179">
        <f>IF(M203&gt;0, (P203+P204+P205)*1, 0)</f>
        <v>0</v>
      </c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30.75" hidden="1" customHeight="1" outlineLevel="1">
      <c r="A206" s="1132" t="s">
        <v>1133</v>
      </c>
      <c r="B206" s="1149" t="str">
        <f>B200</f>
        <v>SANTIAGO__STG</v>
      </c>
      <c r="C206" s="1180" t="s">
        <v>8</v>
      </c>
      <c r="D206" s="1163">
        <v>100</v>
      </c>
      <c r="E206" s="1182"/>
      <c r="F206" s="1164">
        <v>1</v>
      </c>
      <c r="G206" s="1154">
        <v>6887.25</v>
      </c>
      <c r="H206" s="1184">
        <f t="shared" si="184"/>
        <v>6887.25</v>
      </c>
      <c r="I206" s="659"/>
      <c r="J206" s="1156">
        <f t="shared" si="170"/>
        <v>0</v>
      </c>
      <c r="K206" s="659"/>
      <c r="L206" s="1157">
        <f t="shared" si="180"/>
        <v>30</v>
      </c>
      <c r="M206" s="1158">
        <f t="shared" si="171"/>
        <v>0</v>
      </c>
      <c r="N206" s="1159">
        <f t="shared" si="172"/>
        <v>0</v>
      </c>
      <c r="O206" s="659"/>
      <c r="P206" s="1160">
        <f t="shared" si="173"/>
        <v>0</v>
      </c>
      <c r="Q206" s="1161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30.75" hidden="1" customHeight="1" outlineLevel="1">
      <c r="A207" s="1132" t="s">
        <v>1133</v>
      </c>
      <c r="B207" s="1149" t="str">
        <f t="shared" ref="B207:B208" si="185">B206</f>
        <v>SANTIAGO__STG</v>
      </c>
      <c r="C207" s="1185" t="s">
        <v>1151</v>
      </c>
      <c r="D207" s="1163">
        <v>100</v>
      </c>
      <c r="E207" s="1182"/>
      <c r="F207" s="1164">
        <v>1</v>
      </c>
      <c r="G207" s="1154">
        <v>0</v>
      </c>
      <c r="H207" s="1165">
        <f>G207*F207</f>
        <v>0</v>
      </c>
      <c r="I207" s="647"/>
      <c r="J207" s="1156">
        <f t="shared" si="170"/>
        <v>0</v>
      </c>
      <c r="K207" s="647"/>
      <c r="L207" s="1157">
        <f t="shared" si="180"/>
        <v>30</v>
      </c>
      <c r="M207" s="1158">
        <f t="shared" si="171"/>
        <v>0</v>
      </c>
      <c r="N207" s="1159">
        <f t="shared" si="172"/>
        <v>0</v>
      </c>
      <c r="O207" s="647"/>
      <c r="P207" s="1160">
        <f t="shared" si="173"/>
        <v>0</v>
      </c>
      <c r="Q207" s="1166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30.75" hidden="1" customHeight="1" outlineLevel="1">
      <c r="A208" s="1132" t="s">
        <v>325</v>
      </c>
      <c r="B208" s="1167" t="str">
        <f t="shared" si="185"/>
        <v>SANTIAGO__STG</v>
      </c>
      <c r="C208" s="1168" t="s">
        <v>1152</v>
      </c>
      <c r="D208" s="1169">
        <v>100</v>
      </c>
      <c r="E208" s="661"/>
      <c r="F208" s="1170">
        <v>1</v>
      </c>
      <c r="G208" s="1171">
        <v>0</v>
      </c>
      <c r="H208" s="1172">
        <f t="shared" ref="H208:H209" si="186">ROUND(G208*F208,2)</f>
        <v>0</v>
      </c>
      <c r="I208" s="1173">
        <f>SUMIF(E206:E208, "&gt;="&amp;1, H206:H208)</f>
        <v>0</v>
      </c>
      <c r="J208" s="1174">
        <f t="shared" si="170"/>
        <v>0</v>
      </c>
      <c r="K208" s="1173">
        <f>J206+J207+J208</f>
        <v>0</v>
      </c>
      <c r="L208" s="1175">
        <f t="shared" si="180"/>
        <v>30</v>
      </c>
      <c r="M208" s="1176">
        <f t="shared" si="171"/>
        <v>0</v>
      </c>
      <c r="N208" s="1177">
        <f t="shared" si="172"/>
        <v>0</v>
      </c>
      <c r="O208" s="1173">
        <f>IF(J206&gt;0, (N206+N207+N208)*1, 0)</f>
        <v>0</v>
      </c>
      <c r="P208" s="1178">
        <f t="shared" si="173"/>
        <v>0</v>
      </c>
      <c r="Q208" s="1179">
        <f>IF(M206&gt;0, (P206+P207+P208)*1, 0)</f>
        <v>0</v>
      </c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30.75" hidden="1" customHeight="1" outlineLevel="1">
      <c r="A209" s="1132" t="s">
        <v>1133</v>
      </c>
      <c r="B209" s="1149" t="str">
        <f>B206</f>
        <v>SANTIAGO__STG</v>
      </c>
      <c r="C209" s="1180" t="s">
        <v>9</v>
      </c>
      <c r="D209" s="1163">
        <v>200</v>
      </c>
      <c r="E209" s="1182"/>
      <c r="F209" s="1164">
        <v>1</v>
      </c>
      <c r="G209" s="1154">
        <v>6157.87</v>
      </c>
      <c r="H209" s="1184">
        <f t="shared" si="186"/>
        <v>6157.87</v>
      </c>
      <c r="I209" s="659"/>
      <c r="J209" s="1156">
        <f t="shared" si="170"/>
        <v>0</v>
      </c>
      <c r="K209" s="659"/>
      <c r="L209" s="1157">
        <f t="shared" si="180"/>
        <v>30</v>
      </c>
      <c r="M209" s="1158">
        <f t="shared" si="171"/>
        <v>0</v>
      </c>
      <c r="N209" s="1159">
        <f t="shared" si="172"/>
        <v>0</v>
      </c>
      <c r="O209" s="659"/>
      <c r="P209" s="1160">
        <f t="shared" si="173"/>
        <v>0</v>
      </c>
      <c r="Q209" s="1161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30.75" hidden="1" customHeight="1" outlineLevel="1">
      <c r="A210" s="1132" t="s">
        <v>1133</v>
      </c>
      <c r="B210" s="1149" t="str">
        <f>B209</f>
        <v>SANTIAGO__STG</v>
      </c>
      <c r="C210" s="1185" t="s">
        <v>1153</v>
      </c>
      <c r="D210" s="1163">
        <v>200</v>
      </c>
      <c r="E210" s="1182"/>
      <c r="F210" s="1164">
        <v>1</v>
      </c>
      <c r="G210" s="1154">
        <v>0</v>
      </c>
      <c r="H210" s="1165">
        <f>G210*F210</f>
        <v>0</v>
      </c>
      <c r="I210" s="647"/>
      <c r="J210" s="1156">
        <f t="shared" si="170"/>
        <v>0</v>
      </c>
      <c r="K210" s="647"/>
      <c r="L210" s="1157">
        <f t="shared" si="180"/>
        <v>30</v>
      </c>
      <c r="M210" s="1158">
        <f t="shared" si="171"/>
        <v>0</v>
      </c>
      <c r="N210" s="1159">
        <f t="shared" si="172"/>
        <v>0</v>
      </c>
      <c r="O210" s="647"/>
      <c r="P210" s="1160">
        <f t="shared" si="173"/>
        <v>0</v>
      </c>
      <c r="Q210" s="1166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30.75" hidden="1" customHeight="1" outlineLevel="1">
      <c r="A211" s="1132" t="s">
        <v>1133</v>
      </c>
      <c r="B211" s="1167" t="str">
        <f>B208</f>
        <v>SANTIAGO__STG</v>
      </c>
      <c r="C211" s="1168" t="s">
        <v>1154</v>
      </c>
      <c r="D211" s="1169">
        <v>200</v>
      </c>
      <c r="E211" s="661"/>
      <c r="F211" s="1170">
        <v>1</v>
      </c>
      <c r="G211" s="1171">
        <v>0</v>
      </c>
      <c r="H211" s="1155">
        <f>ROUND(G211*F211,2)</f>
        <v>0</v>
      </c>
      <c r="I211" s="1173">
        <f>SUMIF(E209:E211, "&gt;="&amp;1, H209:H211)</f>
        <v>0</v>
      </c>
      <c r="J211" s="1174">
        <f t="shared" si="170"/>
        <v>0</v>
      </c>
      <c r="K211" s="1173">
        <f>J209+J210+J211</f>
        <v>0</v>
      </c>
      <c r="L211" s="1175">
        <f t="shared" si="180"/>
        <v>30</v>
      </c>
      <c r="M211" s="1176">
        <f t="shared" si="171"/>
        <v>0</v>
      </c>
      <c r="N211" s="1177">
        <f t="shared" si="172"/>
        <v>0</v>
      </c>
      <c r="O211" s="1173">
        <f>IF(J209&gt;0, (N209+N210+N211)*1, 0)</f>
        <v>0</v>
      </c>
      <c r="P211" s="1178">
        <f t="shared" si="173"/>
        <v>0</v>
      </c>
      <c r="Q211" s="1179">
        <f>IF(M209&gt;0, (P209+P210+P211)*1, 0)</f>
        <v>0</v>
      </c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35.25" customHeight="1">
      <c r="A212" s="1186" t="s">
        <v>1155</v>
      </c>
      <c r="B212" s="1187" t="str">
        <f>B211</f>
        <v>SANTIAGO__STG</v>
      </c>
      <c r="C212" s="1188"/>
      <c r="D212" s="1199"/>
      <c r="E212" s="1189"/>
      <c r="F212" s="1200"/>
      <c r="G212" s="1191"/>
      <c r="H212" s="1192"/>
      <c r="I212" s="1193">
        <f t="shared" ref="I212:K212" si="187">SUM(I191:I211)</f>
        <v>6664.9400000000005</v>
      </c>
      <c r="J212" s="1193">
        <f t="shared" si="187"/>
        <v>6664.9400000000005</v>
      </c>
      <c r="K212" s="1193">
        <f t="shared" si="187"/>
        <v>6664.9400000000005</v>
      </c>
      <c r="L212" s="1201"/>
      <c r="M212" s="1202"/>
      <c r="N212" s="1193">
        <f t="shared" ref="N212:Q212" si="188">SUM(N191:N211)</f>
        <v>79979.28</v>
      </c>
      <c r="O212" s="1193">
        <f t="shared" si="188"/>
        <v>79979.28</v>
      </c>
      <c r="P212" s="1193">
        <f t="shared" si="188"/>
        <v>199948.2</v>
      </c>
      <c r="Q212" s="1193">
        <f t="shared" si="188"/>
        <v>199948.2</v>
      </c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hidden="1" customHeight="1">
      <c r="A213" s="1132" t="s">
        <v>1133</v>
      </c>
      <c r="B213" s="582" t="s">
        <v>1133</v>
      </c>
      <c r="C213" s="1195"/>
      <c r="D213" s="13"/>
      <c r="E213" s="13"/>
      <c r="F213" s="13"/>
      <c r="G213" s="1197"/>
      <c r="H213" s="1155"/>
      <c r="I213" s="594" t="s">
        <v>1133</v>
      </c>
      <c r="J213" s="1198" t="s">
        <v>1133</v>
      </c>
      <c r="K213" s="594"/>
      <c r="L213" s="1157">
        <f t="shared" ref="L213:L220" si="189">L210</f>
        <v>30</v>
      </c>
      <c r="M213" s="13" t="s">
        <v>1133</v>
      </c>
      <c r="N213" s="592" t="s">
        <v>1133</v>
      </c>
      <c r="O213" s="594" t="s">
        <v>1133</v>
      </c>
      <c r="P213" s="13" t="s">
        <v>1133</v>
      </c>
      <c r="Q213" s="1198" t="s">
        <v>1133</v>
      </c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34.5" customHeight="1">
      <c r="A214" s="1132" t="s">
        <v>325</v>
      </c>
      <c r="B214" s="1149" t="str">
        <f>'CAMPUS.CONTRATANTE'!D19</f>
        <v>SANTO-ANGELO__SAN</v>
      </c>
      <c r="C214" s="1150" t="s">
        <v>3</v>
      </c>
      <c r="D214" s="1151">
        <v>200</v>
      </c>
      <c r="E214" s="1152">
        <v>1</v>
      </c>
      <c r="F214" s="1153">
        <v>1</v>
      </c>
      <c r="G214" s="1154">
        <v>6971.25</v>
      </c>
      <c r="H214" s="1155">
        <f>ROUND(G214*F214,2)</f>
        <v>6971.25</v>
      </c>
      <c r="I214" s="659"/>
      <c r="J214" s="1156">
        <f t="shared" ref="J214:J234" si="190">H214*E214</f>
        <v>6971.25</v>
      </c>
      <c r="K214" s="659"/>
      <c r="L214" s="1157">
        <f t="shared" si="189"/>
        <v>30</v>
      </c>
      <c r="M214" s="1158">
        <f t="shared" ref="M214:M234" si="191">L214*E214</f>
        <v>30</v>
      </c>
      <c r="N214" s="1159">
        <f t="shared" ref="N214:N234" si="192">J214*12</f>
        <v>83655</v>
      </c>
      <c r="O214" s="659"/>
      <c r="P214" s="1160">
        <f t="shared" ref="P214:P234" si="193">J214*L214</f>
        <v>209137.5</v>
      </c>
      <c r="Q214" s="1161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34.5" customHeight="1">
      <c r="A215" s="1132" t="s">
        <v>1133</v>
      </c>
      <c r="B215" s="1149" t="str">
        <f t="shared" ref="B215:B216" si="194">B214</f>
        <v>SANTO-ANGELO__SAN</v>
      </c>
      <c r="C215" s="1162" t="s">
        <v>1141</v>
      </c>
      <c r="D215" s="1163">
        <v>200</v>
      </c>
      <c r="E215" s="1152">
        <v>1</v>
      </c>
      <c r="F215" s="1164">
        <v>1</v>
      </c>
      <c r="G215" s="1154">
        <v>0</v>
      </c>
      <c r="H215" s="1165">
        <f>G215*F215</f>
        <v>0</v>
      </c>
      <c r="I215" s="647"/>
      <c r="J215" s="1156">
        <f t="shared" si="190"/>
        <v>0</v>
      </c>
      <c r="K215" s="647"/>
      <c r="L215" s="1157">
        <f t="shared" si="189"/>
        <v>0</v>
      </c>
      <c r="M215" s="1158">
        <f t="shared" si="191"/>
        <v>0</v>
      </c>
      <c r="N215" s="1159">
        <f t="shared" si="192"/>
        <v>0</v>
      </c>
      <c r="O215" s="647"/>
      <c r="P215" s="1160">
        <f t="shared" si="193"/>
        <v>0</v>
      </c>
      <c r="Q215" s="1166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34.5" customHeight="1">
      <c r="A216" s="1132" t="s">
        <v>1133</v>
      </c>
      <c r="B216" s="1167" t="str">
        <f t="shared" si="194"/>
        <v>SANTO-ANGELO__SAN</v>
      </c>
      <c r="C216" s="1168" t="s">
        <v>1142</v>
      </c>
      <c r="D216" s="1169">
        <v>200</v>
      </c>
      <c r="E216" s="661">
        <v>1</v>
      </c>
      <c r="F216" s="1170">
        <v>1</v>
      </c>
      <c r="G216" s="1171">
        <v>0</v>
      </c>
      <c r="H216" s="1172">
        <f t="shared" ref="H216:H217" si="195">ROUND(G216*F216,2)</f>
        <v>0</v>
      </c>
      <c r="I216" s="1173">
        <f>SUMIF(E214:E216, "&gt;="&amp;1, H214:H216)</f>
        <v>6971.25</v>
      </c>
      <c r="J216" s="1174">
        <f t="shared" si="190"/>
        <v>0</v>
      </c>
      <c r="K216" s="1173">
        <f>J214+J215+J216</f>
        <v>6971.25</v>
      </c>
      <c r="L216" s="1175">
        <f t="shared" si="189"/>
        <v>30</v>
      </c>
      <c r="M216" s="1176">
        <f t="shared" si="191"/>
        <v>30</v>
      </c>
      <c r="N216" s="1177">
        <f t="shared" si="192"/>
        <v>0</v>
      </c>
      <c r="O216" s="1173">
        <f>IF(J214&gt;0, (N214+N215+N216)*1, 0)</f>
        <v>83655</v>
      </c>
      <c r="P216" s="1178">
        <f t="shared" si="193"/>
        <v>0</v>
      </c>
      <c r="Q216" s="1179">
        <f>IF(M214&gt;0, (P214+P215+P216)*1, 0)</f>
        <v>209137.5</v>
      </c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34.5" hidden="1" customHeight="1" outlineLevel="1">
      <c r="A217" s="1132" t="s">
        <v>1133</v>
      </c>
      <c r="B217" s="1149" t="str">
        <f>B214</f>
        <v>SANTO-ANGELO__SAN</v>
      </c>
      <c r="C217" s="1180" t="s">
        <v>4</v>
      </c>
      <c r="D217" s="1181">
        <v>100</v>
      </c>
      <c r="E217" s="1182"/>
      <c r="F217" s="1164">
        <v>1</v>
      </c>
      <c r="G217" s="1183">
        <v>4433.3900000000003</v>
      </c>
      <c r="H217" s="1184">
        <f t="shared" si="195"/>
        <v>4433.3900000000003</v>
      </c>
      <c r="I217" s="659"/>
      <c r="J217" s="1156">
        <f t="shared" si="190"/>
        <v>0</v>
      </c>
      <c r="K217" s="659"/>
      <c r="L217" s="1157">
        <f t="shared" si="189"/>
        <v>30</v>
      </c>
      <c r="M217" s="1158">
        <f t="shared" si="191"/>
        <v>0</v>
      </c>
      <c r="N217" s="1159">
        <f t="shared" si="192"/>
        <v>0</v>
      </c>
      <c r="O217" s="659"/>
      <c r="P217" s="1160">
        <f t="shared" si="193"/>
        <v>0</v>
      </c>
      <c r="Q217" s="1161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34.5" hidden="1" customHeight="1" outlineLevel="1">
      <c r="A218" s="1132" t="s">
        <v>1133</v>
      </c>
      <c r="B218" s="1149" t="str">
        <f t="shared" ref="B218:B219" si="196">B217</f>
        <v>SANTO-ANGELO__SAN</v>
      </c>
      <c r="C218" s="1185" t="s">
        <v>1143</v>
      </c>
      <c r="D218" s="1163">
        <v>100</v>
      </c>
      <c r="E218" s="1182"/>
      <c r="F218" s="1164">
        <v>1</v>
      </c>
      <c r="G218" s="1183">
        <v>0</v>
      </c>
      <c r="H218" s="1165">
        <f>G218*F218</f>
        <v>0</v>
      </c>
      <c r="I218" s="647"/>
      <c r="J218" s="1156">
        <f t="shared" si="190"/>
        <v>0</v>
      </c>
      <c r="K218" s="647"/>
      <c r="L218" s="1157">
        <f t="shared" si="189"/>
        <v>0</v>
      </c>
      <c r="M218" s="1158">
        <f t="shared" si="191"/>
        <v>0</v>
      </c>
      <c r="N218" s="1159">
        <f t="shared" si="192"/>
        <v>0</v>
      </c>
      <c r="O218" s="647"/>
      <c r="P218" s="1160">
        <f t="shared" si="193"/>
        <v>0</v>
      </c>
      <c r="Q218" s="1166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34.5" hidden="1" customHeight="1" outlineLevel="1">
      <c r="A219" s="1132" t="s">
        <v>1133</v>
      </c>
      <c r="B219" s="1167" t="str">
        <f t="shared" si="196"/>
        <v>SANTO-ANGELO__SAN</v>
      </c>
      <c r="C219" s="1168" t="s">
        <v>1144</v>
      </c>
      <c r="D219" s="1169">
        <v>100</v>
      </c>
      <c r="E219" s="661"/>
      <c r="F219" s="1170">
        <v>1</v>
      </c>
      <c r="G219" s="1171">
        <v>0</v>
      </c>
      <c r="H219" s="1172">
        <f t="shared" ref="H219:H220" si="197">ROUND(G219*F219,2)</f>
        <v>0</v>
      </c>
      <c r="I219" s="1173">
        <f>SUMIF(E217:E219, "&gt;="&amp;1, H217:H219)</f>
        <v>0</v>
      </c>
      <c r="J219" s="1174">
        <f t="shared" si="190"/>
        <v>0</v>
      </c>
      <c r="K219" s="1173">
        <f>J217+J218+J219</f>
        <v>0</v>
      </c>
      <c r="L219" s="1175">
        <f t="shared" si="189"/>
        <v>30</v>
      </c>
      <c r="M219" s="1176">
        <f t="shared" si="191"/>
        <v>0</v>
      </c>
      <c r="N219" s="1177">
        <f t="shared" si="192"/>
        <v>0</v>
      </c>
      <c r="O219" s="1173">
        <f>IF(J217&gt;0, (N217+N218+N219)*1, 0)</f>
        <v>0</v>
      </c>
      <c r="P219" s="1178">
        <f t="shared" si="193"/>
        <v>0</v>
      </c>
      <c r="Q219" s="1179">
        <f>IF(M217&gt;0, (P217+P218+P219)*1, 0)</f>
        <v>0</v>
      </c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34.5" customHeight="1" outlineLevel="1">
      <c r="A220" s="1132" t="s">
        <v>1133</v>
      </c>
      <c r="B220" s="1149" t="str">
        <f>B217</f>
        <v>SANTO-ANGELO__SAN</v>
      </c>
      <c r="C220" s="1180" t="s">
        <v>5</v>
      </c>
      <c r="D220" s="1181">
        <v>200</v>
      </c>
      <c r="E220" s="1182">
        <v>6</v>
      </c>
      <c r="F220" s="1164">
        <v>1</v>
      </c>
      <c r="G220" s="1183">
        <v>6536.31</v>
      </c>
      <c r="H220" s="1184">
        <f t="shared" si="197"/>
        <v>6536.31</v>
      </c>
      <c r="I220" s="659"/>
      <c r="J220" s="1156">
        <f t="shared" si="190"/>
        <v>39217.86</v>
      </c>
      <c r="K220" s="659"/>
      <c r="L220" s="1157">
        <f t="shared" si="189"/>
        <v>30</v>
      </c>
      <c r="M220" s="1158">
        <f t="shared" si="191"/>
        <v>180</v>
      </c>
      <c r="N220" s="1159">
        <f t="shared" si="192"/>
        <v>470614.32</v>
      </c>
      <c r="O220" s="659"/>
      <c r="P220" s="1160">
        <f t="shared" si="193"/>
        <v>1176535.8</v>
      </c>
      <c r="Q220" s="1161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34.5" customHeight="1" outlineLevel="1">
      <c r="A221" s="1132" t="s">
        <v>1133</v>
      </c>
      <c r="B221" s="1149" t="str">
        <f t="shared" ref="B221:B222" si="198">B220</f>
        <v>SANTO-ANGELO__SAN</v>
      </c>
      <c r="C221" s="1185" t="s">
        <v>1145</v>
      </c>
      <c r="D221" s="1163">
        <v>200</v>
      </c>
      <c r="E221" s="1182">
        <v>6</v>
      </c>
      <c r="F221" s="1164">
        <v>1</v>
      </c>
      <c r="G221" s="1183">
        <v>0</v>
      </c>
      <c r="H221" s="1165">
        <f>G221*F221</f>
        <v>0</v>
      </c>
      <c r="I221" s="647"/>
      <c r="J221" s="1156">
        <f t="shared" si="190"/>
        <v>0</v>
      </c>
      <c r="K221" s="647"/>
      <c r="L221" s="1157">
        <f>L220</f>
        <v>30</v>
      </c>
      <c r="M221" s="1158">
        <f t="shared" si="191"/>
        <v>180</v>
      </c>
      <c r="N221" s="1159">
        <f t="shared" si="192"/>
        <v>0</v>
      </c>
      <c r="O221" s="647"/>
      <c r="P221" s="1160">
        <f t="shared" si="193"/>
        <v>0</v>
      </c>
      <c r="Q221" s="1166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34.5" customHeight="1" outlineLevel="1">
      <c r="A222" s="1132" t="s">
        <v>1133</v>
      </c>
      <c r="B222" s="1167" t="str">
        <f t="shared" si="198"/>
        <v>SANTO-ANGELO__SAN</v>
      </c>
      <c r="C222" s="1168" t="s">
        <v>1146</v>
      </c>
      <c r="D222" s="1169">
        <v>200</v>
      </c>
      <c r="E222" s="661">
        <v>6</v>
      </c>
      <c r="F222" s="1170">
        <v>1</v>
      </c>
      <c r="G222" s="1171">
        <v>362.27</v>
      </c>
      <c r="H222" s="1172">
        <f t="shared" ref="H222:H223" si="199">ROUND(G222*F222,2)</f>
        <v>362.27</v>
      </c>
      <c r="I222" s="1173">
        <f>SUMIF(E220:E222, "&gt;="&amp;1, H220:H222)</f>
        <v>6898.58</v>
      </c>
      <c r="J222" s="1174">
        <f t="shared" si="190"/>
        <v>2173.62</v>
      </c>
      <c r="K222" s="1173">
        <f>J220+J221+J222</f>
        <v>41391.480000000003</v>
      </c>
      <c r="L222" s="1175">
        <f t="shared" ref="L222:L234" si="200">L219</f>
        <v>30</v>
      </c>
      <c r="M222" s="1176">
        <f t="shared" si="191"/>
        <v>180</v>
      </c>
      <c r="N222" s="1177">
        <f t="shared" si="192"/>
        <v>26083.439999999999</v>
      </c>
      <c r="O222" s="1173">
        <f>IF(J220&gt;0, (N220+N221+N222)*1, 0)</f>
        <v>496697.76</v>
      </c>
      <c r="P222" s="1178">
        <f t="shared" si="193"/>
        <v>65208.6</v>
      </c>
      <c r="Q222" s="1179">
        <f>IF(M220&gt;0, (P220+P221+P222)*1, 0)</f>
        <v>1241744.4000000001</v>
      </c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34.5" customHeight="1" outlineLevel="1">
      <c r="A223" s="1132" t="s">
        <v>1133</v>
      </c>
      <c r="B223" s="1149" t="str">
        <f>B220</f>
        <v>SANTO-ANGELO__SAN</v>
      </c>
      <c r="C223" s="1180" t="s">
        <v>6</v>
      </c>
      <c r="D223" s="1163">
        <v>100</v>
      </c>
      <c r="E223" s="1182">
        <v>4</v>
      </c>
      <c r="F223" s="1164">
        <v>1</v>
      </c>
      <c r="G223" s="1154">
        <v>3894.1499999999996</v>
      </c>
      <c r="H223" s="1184">
        <f t="shared" si="199"/>
        <v>3894.15</v>
      </c>
      <c r="I223" s="659"/>
      <c r="J223" s="1156">
        <f t="shared" si="190"/>
        <v>15576.6</v>
      </c>
      <c r="K223" s="659"/>
      <c r="L223" s="1157">
        <f t="shared" si="200"/>
        <v>30</v>
      </c>
      <c r="M223" s="1158">
        <f t="shared" si="191"/>
        <v>120</v>
      </c>
      <c r="N223" s="1159">
        <f t="shared" si="192"/>
        <v>186919.2</v>
      </c>
      <c r="O223" s="659"/>
      <c r="P223" s="1160">
        <f t="shared" si="193"/>
        <v>467298</v>
      </c>
      <c r="Q223" s="1161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34.5" customHeight="1" outlineLevel="1">
      <c r="A224" s="1132" t="s">
        <v>1133</v>
      </c>
      <c r="B224" s="1149" t="str">
        <f t="shared" ref="B224:B225" si="201">B223</f>
        <v>SANTO-ANGELO__SAN</v>
      </c>
      <c r="C224" s="1185" t="s">
        <v>1147</v>
      </c>
      <c r="D224" s="1163">
        <v>200</v>
      </c>
      <c r="E224" s="1182">
        <v>4</v>
      </c>
      <c r="F224" s="1164">
        <v>1</v>
      </c>
      <c r="G224" s="1154">
        <v>0</v>
      </c>
      <c r="H224" s="1165">
        <f>G224*F224</f>
        <v>0</v>
      </c>
      <c r="I224" s="647"/>
      <c r="J224" s="1156">
        <f t="shared" si="190"/>
        <v>0</v>
      </c>
      <c r="K224" s="647"/>
      <c r="L224" s="1157">
        <f t="shared" si="200"/>
        <v>30</v>
      </c>
      <c r="M224" s="1158">
        <f t="shared" si="191"/>
        <v>120</v>
      </c>
      <c r="N224" s="1159">
        <f t="shared" si="192"/>
        <v>0</v>
      </c>
      <c r="O224" s="647"/>
      <c r="P224" s="1160">
        <f t="shared" si="193"/>
        <v>0</v>
      </c>
      <c r="Q224" s="1166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34.5" customHeight="1" outlineLevel="1">
      <c r="A225" s="1132" t="s">
        <v>1133</v>
      </c>
      <c r="B225" s="1167" t="str">
        <f t="shared" si="201"/>
        <v>SANTO-ANGELO__SAN</v>
      </c>
      <c r="C225" s="1168" t="s">
        <v>1148</v>
      </c>
      <c r="D225" s="1169">
        <v>100</v>
      </c>
      <c r="E225" s="661">
        <v>4</v>
      </c>
      <c r="F225" s="1170">
        <v>1</v>
      </c>
      <c r="G225" s="1171">
        <v>72.459999999999994</v>
      </c>
      <c r="H225" s="1172">
        <f t="shared" ref="H225:H226" si="202">ROUND(G225*F225,2)</f>
        <v>72.459999999999994</v>
      </c>
      <c r="I225" s="1173">
        <f>SUMIF(E223:E225, "&gt;="&amp;1, H223:H225)</f>
        <v>3966.61</v>
      </c>
      <c r="J225" s="1174">
        <f t="shared" si="190"/>
        <v>289.83999999999997</v>
      </c>
      <c r="K225" s="1173">
        <f>J223+J224+J225</f>
        <v>15866.44</v>
      </c>
      <c r="L225" s="1175">
        <f t="shared" si="200"/>
        <v>30</v>
      </c>
      <c r="M225" s="1176">
        <f t="shared" si="191"/>
        <v>120</v>
      </c>
      <c r="N225" s="1177">
        <f t="shared" si="192"/>
        <v>3478.08</v>
      </c>
      <c r="O225" s="1173">
        <f>IF(J223&gt;0, (N223+N224+N225)*1, 0)</f>
        <v>190397.28</v>
      </c>
      <c r="P225" s="1178">
        <f t="shared" si="193"/>
        <v>8695.1999999999989</v>
      </c>
      <c r="Q225" s="1179">
        <f>IF(M223&gt;0, (P223+P224+P225)*1, 0)</f>
        <v>475993.2</v>
      </c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34.5" customHeight="1" outlineLevel="1">
      <c r="A226" s="1132" t="s">
        <v>1133</v>
      </c>
      <c r="B226" s="1149" t="str">
        <f>B223</f>
        <v>SANTO-ANGELO__SAN</v>
      </c>
      <c r="C226" s="1180" t="s">
        <v>7</v>
      </c>
      <c r="D226" s="1163">
        <v>200</v>
      </c>
      <c r="E226" s="1182">
        <v>1</v>
      </c>
      <c r="F226" s="1164">
        <v>1</v>
      </c>
      <c r="G226" s="1154">
        <v>12554.869999999999</v>
      </c>
      <c r="H226" s="1184">
        <f t="shared" si="202"/>
        <v>12554.87</v>
      </c>
      <c r="I226" s="659"/>
      <c r="J226" s="1156">
        <f t="shared" si="190"/>
        <v>12554.87</v>
      </c>
      <c r="K226" s="659"/>
      <c r="L226" s="1157">
        <f t="shared" si="200"/>
        <v>30</v>
      </c>
      <c r="M226" s="1158">
        <f t="shared" si="191"/>
        <v>30</v>
      </c>
      <c r="N226" s="1159">
        <f t="shared" si="192"/>
        <v>150658.44</v>
      </c>
      <c r="O226" s="659"/>
      <c r="P226" s="1160">
        <f t="shared" si="193"/>
        <v>376646.10000000003</v>
      </c>
      <c r="Q226" s="1161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34.5" customHeight="1" outlineLevel="1">
      <c r="A227" s="1132" t="s">
        <v>1133</v>
      </c>
      <c r="B227" s="1149" t="str">
        <f t="shared" ref="B227:B228" si="203">B226</f>
        <v>SANTO-ANGELO__SAN</v>
      </c>
      <c r="C227" s="1185" t="s">
        <v>1149</v>
      </c>
      <c r="D227" s="1163">
        <v>200</v>
      </c>
      <c r="E227" s="1182">
        <v>1</v>
      </c>
      <c r="F227" s="1164">
        <v>1</v>
      </c>
      <c r="G227" s="1154">
        <v>0</v>
      </c>
      <c r="H227" s="1165">
        <f>G227*F227</f>
        <v>0</v>
      </c>
      <c r="I227" s="647"/>
      <c r="J227" s="1156">
        <f t="shared" si="190"/>
        <v>0</v>
      </c>
      <c r="K227" s="647"/>
      <c r="L227" s="1157">
        <f t="shared" si="200"/>
        <v>30</v>
      </c>
      <c r="M227" s="1158">
        <f t="shared" si="191"/>
        <v>30</v>
      </c>
      <c r="N227" s="1159">
        <f t="shared" si="192"/>
        <v>0</v>
      </c>
      <c r="O227" s="647"/>
      <c r="P227" s="1160">
        <f t="shared" si="193"/>
        <v>0</v>
      </c>
      <c r="Q227" s="1166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34.5" customHeight="1" outlineLevel="1">
      <c r="A228" s="1132" t="s">
        <v>1133</v>
      </c>
      <c r="B228" s="1167" t="str">
        <f t="shared" si="203"/>
        <v>SANTO-ANGELO__SAN</v>
      </c>
      <c r="C228" s="1168" t="s">
        <v>1150</v>
      </c>
      <c r="D228" s="1169">
        <v>200</v>
      </c>
      <c r="E228" s="661">
        <v>1</v>
      </c>
      <c r="F228" s="1170">
        <v>1</v>
      </c>
      <c r="G228" s="1171">
        <v>0</v>
      </c>
      <c r="H228" s="1172">
        <f t="shared" ref="H228:H229" si="204">ROUND(G228*F228,2)</f>
        <v>0</v>
      </c>
      <c r="I228" s="1173">
        <f>SUMIF(E226:E228, "&gt;="&amp;1, H226:H228)</f>
        <v>12554.87</v>
      </c>
      <c r="J228" s="1174">
        <f t="shared" si="190"/>
        <v>0</v>
      </c>
      <c r="K228" s="1173">
        <f>J226+J227+J228</f>
        <v>12554.87</v>
      </c>
      <c r="L228" s="1175">
        <f t="shared" si="200"/>
        <v>30</v>
      </c>
      <c r="M228" s="1176">
        <f t="shared" si="191"/>
        <v>30</v>
      </c>
      <c r="N228" s="1177">
        <f t="shared" si="192"/>
        <v>0</v>
      </c>
      <c r="O228" s="1173">
        <f>IF(J226&gt;0, (N226+N227+N228)*1, 0)</f>
        <v>150658.44</v>
      </c>
      <c r="P228" s="1178">
        <f t="shared" si="193"/>
        <v>0</v>
      </c>
      <c r="Q228" s="1179">
        <f>IF(M226&gt;0, (P226+P227+P228)*1, 0)</f>
        <v>376646.10000000003</v>
      </c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34.5" hidden="1" customHeight="1" outlineLevel="1">
      <c r="A229" s="1132" t="s">
        <v>1133</v>
      </c>
      <c r="B229" s="1149" t="str">
        <f>B223</f>
        <v>SANTO-ANGELO__SAN</v>
      </c>
      <c r="C229" s="1180" t="s">
        <v>8</v>
      </c>
      <c r="D229" s="1163">
        <v>100</v>
      </c>
      <c r="E229" s="1182"/>
      <c r="F229" s="1164">
        <v>1</v>
      </c>
      <c r="G229" s="1154">
        <v>6939.75</v>
      </c>
      <c r="H229" s="1184">
        <f t="shared" si="204"/>
        <v>6939.75</v>
      </c>
      <c r="I229" s="659"/>
      <c r="J229" s="1156">
        <f t="shared" si="190"/>
        <v>0</v>
      </c>
      <c r="K229" s="659"/>
      <c r="L229" s="1157">
        <f t="shared" si="200"/>
        <v>30</v>
      </c>
      <c r="M229" s="1158">
        <f t="shared" si="191"/>
        <v>0</v>
      </c>
      <c r="N229" s="1159">
        <f t="shared" si="192"/>
        <v>0</v>
      </c>
      <c r="O229" s="659"/>
      <c r="P229" s="1160">
        <f t="shared" si="193"/>
        <v>0</v>
      </c>
      <c r="Q229" s="1161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34.5" hidden="1" customHeight="1" outlineLevel="1">
      <c r="A230" s="1132" t="s">
        <v>1133</v>
      </c>
      <c r="B230" s="1149" t="str">
        <f t="shared" ref="B230:B231" si="205">B229</f>
        <v>SANTO-ANGELO__SAN</v>
      </c>
      <c r="C230" s="1185" t="s">
        <v>1151</v>
      </c>
      <c r="D230" s="1163">
        <v>100</v>
      </c>
      <c r="E230" s="1182"/>
      <c r="F230" s="1164">
        <v>1</v>
      </c>
      <c r="G230" s="1154">
        <v>0</v>
      </c>
      <c r="H230" s="1165">
        <f>G230*F230</f>
        <v>0</v>
      </c>
      <c r="I230" s="647"/>
      <c r="J230" s="1156">
        <f t="shared" si="190"/>
        <v>0</v>
      </c>
      <c r="K230" s="647"/>
      <c r="L230" s="1157">
        <f t="shared" si="200"/>
        <v>30</v>
      </c>
      <c r="M230" s="1158">
        <f t="shared" si="191"/>
        <v>0</v>
      </c>
      <c r="N230" s="1159">
        <f t="shared" si="192"/>
        <v>0</v>
      </c>
      <c r="O230" s="647"/>
      <c r="P230" s="1160">
        <f t="shared" si="193"/>
        <v>0</v>
      </c>
      <c r="Q230" s="1166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34.5" hidden="1" customHeight="1" outlineLevel="1">
      <c r="A231" s="1132" t="s">
        <v>325</v>
      </c>
      <c r="B231" s="1167" t="str">
        <f t="shared" si="205"/>
        <v>SANTO-ANGELO__SAN</v>
      </c>
      <c r="C231" s="1168" t="s">
        <v>1152</v>
      </c>
      <c r="D231" s="1169">
        <v>100</v>
      </c>
      <c r="E231" s="661"/>
      <c r="F231" s="1170">
        <v>1</v>
      </c>
      <c r="G231" s="1171">
        <v>0</v>
      </c>
      <c r="H231" s="1172">
        <f t="shared" ref="H231:H232" si="206">ROUND(G231*F231,2)</f>
        <v>0</v>
      </c>
      <c r="I231" s="1173">
        <f>SUMIF(E229:E231, "&gt;="&amp;1, H229:H231)</f>
        <v>0</v>
      </c>
      <c r="J231" s="1174">
        <f t="shared" si="190"/>
        <v>0</v>
      </c>
      <c r="K231" s="1173">
        <f>J229+J230+J231</f>
        <v>0</v>
      </c>
      <c r="L231" s="1175">
        <f t="shared" si="200"/>
        <v>30</v>
      </c>
      <c r="M231" s="1176">
        <f t="shared" si="191"/>
        <v>0</v>
      </c>
      <c r="N231" s="1177">
        <f t="shared" si="192"/>
        <v>0</v>
      </c>
      <c r="O231" s="1173">
        <f>IF(J229&gt;0, (N229+N230+N231)*1, 0)</f>
        <v>0</v>
      </c>
      <c r="P231" s="1178">
        <f t="shared" si="193"/>
        <v>0</v>
      </c>
      <c r="Q231" s="1179">
        <f>IF(M229&gt;0, (P229+P230+P231)*1, 0)</f>
        <v>0</v>
      </c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34.5" hidden="1" customHeight="1" outlineLevel="1">
      <c r="A232" s="1132" t="s">
        <v>1133</v>
      </c>
      <c r="B232" s="1149" t="str">
        <f>B229</f>
        <v>SANTO-ANGELO__SAN</v>
      </c>
      <c r="C232" s="1180" t="s">
        <v>9</v>
      </c>
      <c r="D232" s="1163">
        <v>200</v>
      </c>
      <c r="E232" s="1182"/>
      <c r="F232" s="1164">
        <v>1</v>
      </c>
      <c r="G232" s="1154">
        <v>6210.37</v>
      </c>
      <c r="H232" s="1184">
        <f t="shared" si="206"/>
        <v>6210.37</v>
      </c>
      <c r="I232" s="659"/>
      <c r="J232" s="1156">
        <f t="shared" si="190"/>
        <v>0</v>
      </c>
      <c r="K232" s="659"/>
      <c r="L232" s="1157">
        <f t="shared" si="200"/>
        <v>30</v>
      </c>
      <c r="M232" s="1158">
        <f t="shared" si="191"/>
        <v>0</v>
      </c>
      <c r="N232" s="1159">
        <f t="shared" si="192"/>
        <v>0</v>
      </c>
      <c r="O232" s="659"/>
      <c r="P232" s="1160">
        <f t="shared" si="193"/>
        <v>0</v>
      </c>
      <c r="Q232" s="1161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34.5" hidden="1" customHeight="1" outlineLevel="1">
      <c r="A233" s="1132" t="s">
        <v>1133</v>
      </c>
      <c r="B233" s="1149" t="str">
        <f t="shared" ref="B233:B235" si="207">B232</f>
        <v>SANTO-ANGELO__SAN</v>
      </c>
      <c r="C233" s="1185" t="s">
        <v>1153</v>
      </c>
      <c r="D233" s="1163">
        <v>200</v>
      </c>
      <c r="E233" s="1182"/>
      <c r="F233" s="1164">
        <v>1</v>
      </c>
      <c r="G233" s="1154">
        <v>0</v>
      </c>
      <c r="H233" s="1165">
        <f>G233*F233</f>
        <v>0</v>
      </c>
      <c r="I233" s="647"/>
      <c r="J233" s="1156">
        <f t="shared" si="190"/>
        <v>0</v>
      </c>
      <c r="K233" s="647"/>
      <c r="L233" s="1157">
        <f t="shared" si="200"/>
        <v>30</v>
      </c>
      <c r="M233" s="1158">
        <f t="shared" si="191"/>
        <v>0</v>
      </c>
      <c r="N233" s="1159">
        <f t="shared" si="192"/>
        <v>0</v>
      </c>
      <c r="O233" s="647"/>
      <c r="P233" s="1160">
        <f t="shared" si="193"/>
        <v>0</v>
      </c>
      <c r="Q233" s="1166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34.5" hidden="1" customHeight="1" outlineLevel="1">
      <c r="A234" s="1132" t="s">
        <v>1133</v>
      </c>
      <c r="B234" s="1167" t="str">
        <f t="shared" si="207"/>
        <v>SANTO-ANGELO__SAN</v>
      </c>
      <c r="C234" s="1168" t="s">
        <v>1154</v>
      </c>
      <c r="D234" s="1169">
        <v>200</v>
      </c>
      <c r="E234" s="661"/>
      <c r="F234" s="1170">
        <v>1</v>
      </c>
      <c r="G234" s="1171">
        <v>0</v>
      </c>
      <c r="H234" s="1155">
        <f>ROUND(G234*F234,2)</f>
        <v>0</v>
      </c>
      <c r="I234" s="1173">
        <f>SUMIF(E232:E234, "&gt;="&amp;1, H232:H234)</f>
        <v>0</v>
      </c>
      <c r="J234" s="1174">
        <f t="shared" si="190"/>
        <v>0</v>
      </c>
      <c r="K234" s="1173">
        <f>J232+J233+J234</f>
        <v>0</v>
      </c>
      <c r="L234" s="1175">
        <f t="shared" si="200"/>
        <v>30</v>
      </c>
      <c r="M234" s="1176">
        <f t="shared" si="191"/>
        <v>0</v>
      </c>
      <c r="N234" s="1177">
        <f t="shared" si="192"/>
        <v>0</v>
      </c>
      <c r="O234" s="1173">
        <f>IF(J232&gt;0, (N232+N233+N234)*1, 0)</f>
        <v>0</v>
      </c>
      <c r="P234" s="1178">
        <f t="shared" si="193"/>
        <v>0</v>
      </c>
      <c r="Q234" s="1179">
        <f>IF(M232&gt;0, (P232+P233+P234)*1, 0)</f>
        <v>0</v>
      </c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35.25" customHeight="1">
      <c r="A235" s="1186" t="s">
        <v>1155</v>
      </c>
      <c r="B235" s="1187" t="str">
        <f t="shared" si="207"/>
        <v>SANTO-ANGELO__SAN</v>
      </c>
      <c r="C235" s="1188"/>
      <c r="D235" s="1199"/>
      <c r="E235" s="1189"/>
      <c r="F235" s="1200"/>
      <c r="G235" s="1191"/>
      <c r="H235" s="1192"/>
      <c r="I235" s="1193">
        <f t="shared" ref="I235:K235" si="208">SUM(I214:I234)</f>
        <v>30391.309999999998</v>
      </c>
      <c r="J235" s="1193">
        <f t="shared" si="208"/>
        <v>76784.039999999994</v>
      </c>
      <c r="K235" s="1193">
        <f t="shared" si="208"/>
        <v>76784.040000000008</v>
      </c>
      <c r="L235" s="1193"/>
      <c r="M235" s="1193"/>
      <c r="N235" s="1193">
        <f t="shared" ref="N235:Q235" si="209">SUM(N214:N234)</f>
        <v>921408.48</v>
      </c>
      <c r="O235" s="1193">
        <f t="shared" si="209"/>
        <v>921408.48</v>
      </c>
      <c r="P235" s="1193">
        <f t="shared" si="209"/>
        <v>2303521.2000000002</v>
      </c>
      <c r="Q235" s="1193">
        <f t="shared" si="209"/>
        <v>2303521.2000000002</v>
      </c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hidden="1" customHeight="1">
      <c r="A236" s="1132" t="s">
        <v>1133</v>
      </c>
      <c r="B236" s="582" t="s">
        <v>1133</v>
      </c>
      <c r="C236" s="1195"/>
      <c r="D236" s="13"/>
      <c r="E236" s="13"/>
      <c r="F236" s="13"/>
      <c r="G236" s="1197"/>
      <c r="H236" s="1155"/>
      <c r="I236" s="594" t="s">
        <v>1133</v>
      </c>
      <c r="J236" s="1198" t="s">
        <v>1133</v>
      </c>
      <c r="K236" s="594"/>
      <c r="L236" s="1157">
        <f t="shared" ref="L236:L257" si="210">L233</f>
        <v>30</v>
      </c>
      <c r="M236" s="13" t="s">
        <v>1133</v>
      </c>
      <c r="N236" s="592" t="s">
        <v>1133</v>
      </c>
      <c r="O236" s="594" t="s">
        <v>1133</v>
      </c>
      <c r="P236" s="13" t="s">
        <v>1133</v>
      </c>
      <c r="Q236" s="1198" t="s">
        <v>1133</v>
      </c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35.25" customHeight="1">
      <c r="A237" s="1132" t="s">
        <v>325</v>
      </c>
      <c r="B237" s="1149" t="str">
        <f>'CAMPUS.CONTRATANTE'!D20</f>
        <v>SANTO-AUGUSTO_SA</v>
      </c>
      <c r="C237" s="1150" t="s">
        <v>3</v>
      </c>
      <c r="D237" s="1151">
        <v>200</v>
      </c>
      <c r="E237" s="1152">
        <v>2</v>
      </c>
      <c r="F237" s="1153">
        <v>1</v>
      </c>
      <c r="G237" s="1154">
        <v>6862.58</v>
      </c>
      <c r="H237" s="1155">
        <f>ROUND(G237*F237,2)</f>
        <v>6862.58</v>
      </c>
      <c r="I237" s="659"/>
      <c r="J237" s="1156">
        <f t="shared" ref="J237:J257" si="211">H237*E237</f>
        <v>13725.16</v>
      </c>
      <c r="K237" s="659"/>
      <c r="L237" s="1157">
        <f t="shared" si="210"/>
        <v>30</v>
      </c>
      <c r="M237" s="1158">
        <f t="shared" ref="M237:M257" si="212">L237*E237</f>
        <v>60</v>
      </c>
      <c r="N237" s="1159">
        <f t="shared" ref="N237:N257" si="213">J237*12</f>
        <v>164701.91999999998</v>
      </c>
      <c r="O237" s="659"/>
      <c r="P237" s="1160">
        <f t="shared" ref="P237:P257" si="214">J237*L237</f>
        <v>411754.8</v>
      </c>
      <c r="Q237" s="1161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35.25" customHeight="1">
      <c r="A238" s="1132" t="s">
        <v>1133</v>
      </c>
      <c r="B238" s="1149" t="str">
        <f t="shared" ref="B238:B239" si="215">B237</f>
        <v>SANTO-AUGUSTO_SA</v>
      </c>
      <c r="C238" s="1162" t="s">
        <v>1141</v>
      </c>
      <c r="D238" s="1163">
        <v>200</v>
      </c>
      <c r="E238" s="1152">
        <v>2</v>
      </c>
      <c r="F238" s="1164">
        <v>1</v>
      </c>
      <c r="G238" s="1154">
        <v>0</v>
      </c>
      <c r="H238" s="1165">
        <f>G238*F238</f>
        <v>0</v>
      </c>
      <c r="I238" s="647"/>
      <c r="J238" s="1156">
        <f t="shared" si="211"/>
        <v>0</v>
      </c>
      <c r="K238" s="647"/>
      <c r="L238" s="1157">
        <f t="shared" si="210"/>
        <v>0</v>
      </c>
      <c r="M238" s="1158">
        <f t="shared" si="212"/>
        <v>0</v>
      </c>
      <c r="N238" s="1159">
        <f t="shared" si="213"/>
        <v>0</v>
      </c>
      <c r="O238" s="647"/>
      <c r="P238" s="1160">
        <f t="shared" si="214"/>
        <v>0</v>
      </c>
      <c r="Q238" s="1166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35.25" customHeight="1">
      <c r="A239" s="1132" t="s">
        <v>1133</v>
      </c>
      <c r="B239" s="1167" t="str">
        <f t="shared" si="215"/>
        <v>SANTO-AUGUSTO_SA</v>
      </c>
      <c r="C239" s="1168" t="s">
        <v>1142</v>
      </c>
      <c r="D239" s="1169">
        <v>200</v>
      </c>
      <c r="E239" s="661">
        <v>2</v>
      </c>
      <c r="F239" s="1170">
        <v>1</v>
      </c>
      <c r="G239" s="1171">
        <v>0</v>
      </c>
      <c r="H239" s="1172">
        <f t="shared" ref="H239:H240" si="216">ROUND(G239*F239,2)</f>
        <v>0</v>
      </c>
      <c r="I239" s="1173">
        <f>SUMIF(E237:E239, "&gt;="&amp;1, H237:H239)</f>
        <v>6862.58</v>
      </c>
      <c r="J239" s="1174">
        <f t="shared" si="211"/>
        <v>0</v>
      </c>
      <c r="K239" s="1173">
        <f>J237+J238+J239</f>
        <v>13725.16</v>
      </c>
      <c r="L239" s="1175">
        <f t="shared" si="210"/>
        <v>30</v>
      </c>
      <c r="M239" s="1176">
        <f t="shared" si="212"/>
        <v>60</v>
      </c>
      <c r="N239" s="1177">
        <f t="shared" si="213"/>
        <v>0</v>
      </c>
      <c r="O239" s="1173">
        <f>IF(J237&gt;0, (N237+N238+N239)*1, 0)</f>
        <v>164701.91999999998</v>
      </c>
      <c r="P239" s="1178">
        <f t="shared" si="214"/>
        <v>0</v>
      </c>
      <c r="Q239" s="1179">
        <f>IF(M237&gt;0, (P237+P238+P239)*1, 0)</f>
        <v>411754.8</v>
      </c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35.25" hidden="1" customHeight="1" outlineLevel="1">
      <c r="A240" s="1132" t="s">
        <v>1133</v>
      </c>
      <c r="B240" s="1149" t="str">
        <f>B237</f>
        <v>SANTO-AUGUSTO_SA</v>
      </c>
      <c r="C240" s="1180" t="s">
        <v>4</v>
      </c>
      <c r="D240" s="1181">
        <v>100</v>
      </c>
      <c r="E240" s="1182"/>
      <c r="F240" s="1164">
        <v>1</v>
      </c>
      <c r="G240" s="1183">
        <v>4241.7</v>
      </c>
      <c r="H240" s="1184">
        <f t="shared" si="216"/>
        <v>4241.7</v>
      </c>
      <c r="I240" s="659"/>
      <c r="J240" s="1156">
        <f t="shared" si="211"/>
        <v>0</v>
      </c>
      <c r="K240" s="659"/>
      <c r="L240" s="1157">
        <f t="shared" si="210"/>
        <v>30</v>
      </c>
      <c r="M240" s="1158">
        <f t="shared" si="212"/>
        <v>0</v>
      </c>
      <c r="N240" s="1159">
        <f t="shared" si="213"/>
        <v>0</v>
      </c>
      <c r="O240" s="659"/>
      <c r="P240" s="1160">
        <f t="shared" si="214"/>
        <v>0</v>
      </c>
      <c r="Q240" s="1161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35.25" hidden="1" customHeight="1" outlineLevel="1">
      <c r="A241" s="1132" t="s">
        <v>1133</v>
      </c>
      <c r="B241" s="1149" t="str">
        <f t="shared" ref="B241:B242" si="217">B240</f>
        <v>SANTO-AUGUSTO_SA</v>
      </c>
      <c r="C241" s="1185" t="s">
        <v>1143</v>
      </c>
      <c r="D241" s="1163">
        <v>100</v>
      </c>
      <c r="E241" s="1182"/>
      <c r="F241" s="1164">
        <v>1</v>
      </c>
      <c r="G241" s="1183">
        <v>0</v>
      </c>
      <c r="H241" s="1165">
        <f>G241*F241</f>
        <v>0</v>
      </c>
      <c r="I241" s="647"/>
      <c r="J241" s="1156">
        <f t="shared" si="211"/>
        <v>0</v>
      </c>
      <c r="K241" s="647"/>
      <c r="L241" s="1157">
        <f t="shared" si="210"/>
        <v>0</v>
      </c>
      <c r="M241" s="1158">
        <f t="shared" si="212"/>
        <v>0</v>
      </c>
      <c r="N241" s="1159">
        <f t="shared" si="213"/>
        <v>0</v>
      </c>
      <c r="O241" s="647"/>
      <c r="P241" s="1160">
        <f t="shared" si="214"/>
        <v>0</v>
      </c>
      <c r="Q241" s="1166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35.25" hidden="1" customHeight="1" outlineLevel="1">
      <c r="A242" s="1132" t="s">
        <v>1133</v>
      </c>
      <c r="B242" s="1167" t="str">
        <f t="shared" si="217"/>
        <v>SANTO-AUGUSTO_SA</v>
      </c>
      <c r="C242" s="1168" t="s">
        <v>1144</v>
      </c>
      <c r="D242" s="1169">
        <v>100</v>
      </c>
      <c r="E242" s="661"/>
      <c r="F242" s="1170">
        <v>1</v>
      </c>
      <c r="G242" s="1171">
        <v>0</v>
      </c>
      <c r="H242" s="1172">
        <f t="shared" ref="H242:H243" si="218">ROUND(G242*F242,2)</f>
        <v>0</v>
      </c>
      <c r="I242" s="1173">
        <f>SUMIF(E240:E242, "&gt;="&amp;1, H240:H242)</f>
        <v>0</v>
      </c>
      <c r="J242" s="1174">
        <f t="shared" si="211"/>
        <v>0</v>
      </c>
      <c r="K242" s="1173">
        <f>J240+J241+J242</f>
        <v>0</v>
      </c>
      <c r="L242" s="1175">
        <f t="shared" si="210"/>
        <v>30</v>
      </c>
      <c r="M242" s="1176">
        <f t="shared" si="212"/>
        <v>0</v>
      </c>
      <c r="N242" s="1177">
        <f t="shared" si="213"/>
        <v>0</v>
      </c>
      <c r="O242" s="1173">
        <f>IF(J240&gt;0, (N240+N241+N242)*1, 0)</f>
        <v>0</v>
      </c>
      <c r="P242" s="1178">
        <f t="shared" si="214"/>
        <v>0</v>
      </c>
      <c r="Q242" s="1179">
        <f>IF(M240&gt;0, (P240+P241+P242)*1, 0)</f>
        <v>0</v>
      </c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35.25" customHeight="1" outlineLevel="1">
      <c r="A243" s="1132" t="s">
        <v>1133</v>
      </c>
      <c r="B243" s="1149" t="str">
        <f>B240</f>
        <v>SANTO-AUGUSTO_SA</v>
      </c>
      <c r="C243" s="1180" t="s">
        <v>5</v>
      </c>
      <c r="D243" s="1181">
        <v>200</v>
      </c>
      <c r="E243" s="1182">
        <v>6</v>
      </c>
      <c r="F243" s="1164">
        <v>1</v>
      </c>
      <c r="G243" s="1183">
        <v>6427.64</v>
      </c>
      <c r="H243" s="1184">
        <f t="shared" si="218"/>
        <v>6427.64</v>
      </c>
      <c r="I243" s="659"/>
      <c r="J243" s="1156">
        <f t="shared" si="211"/>
        <v>38565.840000000004</v>
      </c>
      <c r="K243" s="659"/>
      <c r="L243" s="1157">
        <f t="shared" si="210"/>
        <v>30</v>
      </c>
      <c r="M243" s="1158">
        <f t="shared" si="212"/>
        <v>180</v>
      </c>
      <c r="N243" s="1159">
        <f t="shared" si="213"/>
        <v>462790.08000000007</v>
      </c>
      <c r="O243" s="659"/>
      <c r="P243" s="1160">
        <f t="shared" si="214"/>
        <v>1156975.2000000002</v>
      </c>
      <c r="Q243" s="1161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35.25" customHeight="1" outlineLevel="1">
      <c r="A244" s="1132" t="s">
        <v>1133</v>
      </c>
      <c r="B244" s="1149" t="str">
        <f t="shared" ref="B244:B245" si="219">B243</f>
        <v>SANTO-AUGUSTO_SA</v>
      </c>
      <c r="C244" s="1185" t="s">
        <v>1145</v>
      </c>
      <c r="D244" s="1163">
        <v>200</v>
      </c>
      <c r="E244" s="1182">
        <v>6</v>
      </c>
      <c r="F244" s="1164">
        <v>1</v>
      </c>
      <c r="G244" s="1183">
        <v>0</v>
      </c>
      <c r="H244" s="1165">
        <f>G244*F244</f>
        <v>0</v>
      </c>
      <c r="I244" s="647"/>
      <c r="J244" s="1156">
        <f t="shared" si="211"/>
        <v>0</v>
      </c>
      <c r="K244" s="647"/>
      <c r="L244" s="1157">
        <f t="shared" si="210"/>
        <v>0</v>
      </c>
      <c r="M244" s="1158">
        <f t="shared" si="212"/>
        <v>0</v>
      </c>
      <c r="N244" s="1159">
        <f t="shared" si="213"/>
        <v>0</v>
      </c>
      <c r="O244" s="647"/>
      <c r="P244" s="1160">
        <f t="shared" si="214"/>
        <v>0</v>
      </c>
      <c r="Q244" s="1166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35.25" customHeight="1" outlineLevel="1">
      <c r="A245" s="1132" t="s">
        <v>1133</v>
      </c>
      <c r="B245" s="1167" t="str">
        <f t="shared" si="219"/>
        <v>SANTO-AUGUSTO_SA</v>
      </c>
      <c r="C245" s="1168" t="s">
        <v>1146</v>
      </c>
      <c r="D245" s="1169">
        <v>200</v>
      </c>
      <c r="E245" s="661">
        <v>6</v>
      </c>
      <c r="F245" s="1170">
        <v>1</v>
      </c>
      <c r="G245" s="1171">
        <v>0</v>
      </c>
      <c r="H245" s="1172">
        <f t="shared" ref="H245:H246" si="220">ROUND(G245*F245,2)</f>
        <v>0</v>
      </c>
      <c r="I245" s="1173">
        <f>SUMIF(E243:E245, "&gt;="&amp;1, H243:H245)</f>
        <v>6427.64</v>
      </c>
      <c r="J245" s="1174">
        <f t="shared" si="211"/>
        <v>0</v>
      </c>
      <c r="K245" s="1173">
        <f>J243+J244+J245</f>
        <v>38565.840000000004</v>
      </c>
      <c r="L245" s="1175">
        <f t="shared" si="210"/>
        <v>30</v>
      </c>
      <c r="M245" s="1176">
        <f t="shared" si="212"/>
        <v>180</v>
      </c>
      <c r="N245" s="1177">
        <f t="shared" si="213"/>
        <v>0</v>
      </c>
      <c r="O245" s="1173">
        <f>IF(J243&gt;0, (N243+N244+N245)*1, 0)</f>
        <v>462790.08000000007</v>
      </c>
      <c r="P245" s="1178">
        <f t="shared" si="214"/>
        <v>0</v>
      </c>
      <c r="Q245" s="1179">
        <f>IF(M243&gt;0, (P243+P244+P245)*1, 0)</f>
        <v>1156975.2000000002</v>
      </c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35.25" hidden="1" customHeight="1" outlineLevel="1">
      <c r="A246" s="1132" t="s">
        <v>1133</v>
      </c>
      <c r="B246" s="1149" t="str">
        <f>B243</f>
        <v>SANTO-AUGUSTO_SA</v>
      </c>
      <c r="C246" s="1180" t="s">
        <v>6</v>
      </c>
      <c r="D246" s="1163">
        <v>100</v>
      </c>
      <c r="E246" s="1182"/>
      <c r="F246" s="1164">
        <v>1</v>
      </c>
      <c r="G246" s="1154">
        <v>3702.4700000000003</v>
      </c>
      <c r="H246" s="1184">
        <f t="shared" si="220"/>
        <v>3702.47</v>
      </c>
      <c r="I246" s="659"/>
      <c r="J246" s="1156">
        <f t="shared" si="211"/>
        <v>0</v>
      </c>
      <c r="K246" s="659"/>
      <c r="L246" s="1157">
        <f t="shared" si="210"/>
        <v>30</v>
      </c>
      <c r="M246" s="1158">
        <f t="shared" si="212"/>
        <v>0</v>
      </c>
      <c r="N246" s="1159">
        <f t="shared" si="213"/>
        <v>0</v>
      </c>
      <c r="O246" s="659"/>
      <c r="P246" s="1160">
        <f t="shared" si="214"/>
        <v>0</v>
      </c>
      <c r="Q246" s="1161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35.25" hidden="1" customHeight="1" outlineLevel="1">
      <c r="A247" s="1132" t="s">
        <v>1133</v>
      </c>
      <c r="B247" s="1149" t="str">
        <f t="shared" ref="B247:B248" si="221">B246</f>
        <v>SANTO-AUGUSTO_SA</v>
      </c>
      <c r="C247" s="1185" t="s">
        <v>1147</v>
      </c>
      <c r="D247" s="1163">
        <v>200</v>
      </c>
      <c r="E247" s="1182"/>
      <c r="F247" s="1164">
        <v>1</v>
      </c>
      <c r="G247" s="1154">
        <v>0</v>
      </c>
      <c r="H247" s="1165">
        <f>G247*F247</f>
        <v>0</v>
      </c>
      <c r="I247" s="647"/>
      <c r="J247" s="1156">
        <f t="shared" si="211"/>
        <v>0</v>
      </c>
      <c r="K247" s="647"/>
      <c r="L247" s="1157">
        <f t="shared" si="210"/>
        <v>0</v>
      </c>
      <c r="M247" s="1158">
        <f t="shared" si="212"/>
        <v>0</v>
      </c>
      <c r="N247" s="1159">
        <f t="shared" si="213"/>
        <v>0</v>
      </c>
      <c r="O247" s="647"/>
      <c r="P247" s="1160">
        <f t="shared" si="214"/>
        <v>0</v>
      </c>
      <c r="Q247" s="1166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35.25" hidden="1" customHeight="1" outlineLevel="1">
      <c r="A248" s="1132" t="s">
        <v>1133</v>
      </c>
      <c r="B248" s="1167" t="str">
        <f t="shared" si="221"/>
        <v>SANTO-AUGUSTO_SA</v>
      </c>
      <c r="C248" s="1168" t="s">
        <v>1148</v>
      </c>
      <c r="D248" s="1169">
        <v>100</v>
      </c>
      <c r="E248" s="661"/>
      <c r="F248" s="1170">
        <v>1</v>
      </c>
      <c r="G248" s="1171">
        <v>0</v>
      </c>
      <c r="H248" s="1172">
        <f t="shared" ref="H248:H249" si="222">ROUND(G248*F248,2)</f>
        <v>0</v>
      </c>
      <c r="I248" s="1173">
        <f>SUMIF(E246:E248, "&gt;="&amp;1, H246:H248)</f>
        <v>0</v>
      </c>
      <c r="J248" s="1174">
        <f t="shared" si="211"/>
        <v>0</v>
      </c>
      <c r="K248" s="1173">
        <f>J246+J247+J248</f>
        <v>0</v>
      </c>
      <c r="L248" s="1175">
        <f t="shared" si="210"/>
        <v>30</v>
      </c>
      <c r="M248" s="1176">
        <f t="shared" si="212"/>
        <v>0</v>
      </c>
      <c r="N248" s="1177">
        <f t="shared" si="213"/>
        <v>0</v>
      </c>
      <c r="O248" s="1173">
        <f>IF(J246&gt;0, (N246+N247+N248)*1, 0)</f>
        <v>0</v>
      </c>
      <c r="P248" s="1178">
        <f t="shared" si="214"/>
        <v>0</v>
      </c>
      <c r="Q248" s="1179">
        <f>IF(M246&gt;0, (P246+P247+P248)*1, 0)</f>
        <v>0</v>
      </c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35.25" customHeight="1" outlineLevel="1">
      <c r="A249" s="1132" t="s">
        <v>1133</v>
      </c>
      <c r="B249" s="1149" t="str">
        <f>B246</f>
        <v>SANTO-AUGUSTO_SA</v>
      </c>
      <c r="C249" s="1180" t="s">
        <v>7</v>
      </c>
      <c r="D249" s="1163">
        <v>200</v>
      </c>
      <c r="E249" s="1182">
        <v>1</v>
      </c>
      <c r="F249" s="1164">
        <v>1</v>
      </c>
      <c r="G249" s="1154">
        <v>12542.649999999998</v>
      </c>
      <c r="H249" s="1184">
        <f t="shared" si="222"/>
        <v>12542.65</v>
      </c>
      <c r="I249" s="659"/>
      <c r="J249" s="1156">
        <f t="shared" si="211"/>
        <v>12542.65</v>
      </c>
      <c r="K249" s="659"/>
      <c r="L249" s="1157">
        <f t="shared" si="210"/>
        <v>30</v>
      </c>
      <c r="M249" s="1158">
        <f t="shared" si="212"/>
        <v>30</v>
      </c>
      <c r="N249" s="1159">
        <f t="shared" si="213"/>
        <v>150511.79999999999</v>
      </c>
      <c r="O249" s="659"/>
      <c r="P249" s="1160">
        <f t="shared" si="214"/>
        <v>376279.5</v>
      </c>
      <c r="Q249" s="1161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35.25" customHeight="1" outlineLevel="1">
      <c r="A250" s="1132" t="s">
        <v>1133</v>
      </c>
      <c r="B250" s="1149" t="str">
        <f t="shared" ref="B250:B251" si="223">B249</f>
        <v>SANTO-AUGUSTO_SA</v>
      </c>
      <c r="C250" s="1185" t="s">
        <v>1149</v>
      </c>
      <c r="D250" s="1163">
        <v>200</v>
      </c>
      <c r="E250" s="1182">
        <v>1</v>
      </c>
      <c r="F250" s="1164">
        <v>1</v>
      </c>
      <c r="G250" s="1154">
        <v>0</v>
      </c>
      <c r="H250" s="1165">
        <f>G250*F250</f>
        <v>0</v>
      </c>
      <c r="I250" s="647"/>
      <c r="J250" s="1156">
        <f t="shared" si="211"/>
        <v>0</v>
      </c>
      <c r="K250" s="647"/>
      <c r="L250" s="1157">
        <f t="shared" si="210"/>
        <v>0</v>
      </c>
      <c r="M250" s="1158">
        <f t="shared" si="212"/>
        <v>0</v>
      </c>
      <c r="N250" s="1159">
        <f t="shared" si="213"/>
        <v>0</v>
      </c>
      <c r="O250" s="647"/>
      <c r="P250" s="1160">
        <f t="shared" si="214"/>
        <v>0</v>
      </c>
      <c r="Q250" s="1166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35.25" customHeight="1" outlineLevel="1">
      <c r="A251" s="1132" t="s">
        <v>1133</v>
      </c>
      <c r="B251" s="1167" t="str">
        <f t="shared" si="223"/>
        <v>SANTO-AUGUSTO_SA</v>
      </c>
      <c r="C251" s="1168" t="s">
        <v>1150</v>
      </c>
      <c r="D251" s="1169">
        <v>200</v>
      </c>
      <c r="E251" s="661">
        <v>1</v>
      </c>
      <c r="F251" s="1170">
        <v>1</v>
      </c>
      <c r="G251" s="1171">
        <v>0</v>
      </c>
      <c r="H251" s="1172">
        <f t="shared" ref="H251:H252" si="224">ROUND(G251*F251,2)</f>
        <v>0</v>
      </c>
      <c r="I251" s="1173">
        <f>SUMIF(E249:E251, "&gt;="&amp;1, H249:H251)</f>
        <v>12542.65</v>
      </c>
      <c r="J251" s="1174">
        <f t="shared" si="211"/>
        <v>0</v>
      </c>
      <c r="K251" s="1173">
        <f>J249+J250+J251</f>
        <v>12542.65</v>
      </c>
      <c r="L251" s="1175">
        <f t="shared" si="210"/>
        <v>30</v>
      </c>
      <c r="M251" s="1176">
        <f t="shared" si="212"/>
        <v>30</v>
      </c>
      <c r="N251" s="1177">
        <f t="shared" si="213"/>
        <v>0</v>
      </c>
      <c r="O251" s="1173">
        <f>IF(J249&gt;0, (N249+N250+N251)*1, 0)</f>
        <v>150511.79999999999</v>
      </c>
      <c r="P251" s="1178">
        <f t="shared" si="214"/>
        <v>0</v>
      </c>
      <c r="Q251" s="1179">
        <f>IF(M249&gt;0, (P249+P250+P251)*1, 0)</f>
        <v>376279.5</v>
      </c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35.25" hidden="1" customHeight="1" outlineLevel="1">
      <c r="A252" s="1132" t="s">
        <v>1133</v>
      </c>
      <c r="B252" s="1149" t="str">
        <f>B246</f>
        <v>SANTO-AUGUSTO_SA</v>
      </c>
      <c r="C252" s="1180" t="s">
        <v>8</v>
      </c>
      <c r="D252" s="1163">
        <v>100</v>
      </c>
      <c r="E252" s="1182"/>
      <c r="F252" s="1164">
        <v>1</v>
      </c>
      <c r="G252" s="1154">
        <v>6871.32</v>
      </c>
      <c r="H252" s="1184">
        <f t="shared" si="224"/>
        <v>6871.32</v>
      </c>
      <c r="I252" s="659"/>
      <c r="J252" s="1156">
        <f t="shared" si="211"/>
        <v>0</v>
      </c>
      <c r="K252" s="659"/>
      <c r="L252" s="1157">
        <f t="shared" si="210"/>
        <v>30</v>
      </c>
      <c r="M252" s="1158">
        <f t="shared" si="212"/>
        <v>0</v>
      </c>
      <c r="N252" s="1159">
        <f t="shared" si="213"/>
        <v>0</v>
      </c>
      <c r="O252" s="659"/>
      <c r="P252" s="1160">
        <f t="shared" si="214"/>
        <v>0</v>
      </c>
      <c r="Q252" s="1161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35.25" hidden="1" customHeight="1" outlineLevel="1">
      <c r="A253" s="1132" t="s">
        <v>1133</v>
      </c>
      <c r="B253" s="1149" t="str">
        <f t="shared" ref="B253:B254" si="225">B252</f>
        <v>SANTO-AUGUSTO_SA</v>
      </c>
      <c r="C253" s="1185" t="s">
        <v>1151</v>
      </c>
      <c r="D253" s="1163">
        <v>100</v>
      </c>
      <c r="E253" s="1182"/>
      <c r="F253" s="1164">
        <v>1</v>
      </c>
      <c r="G253" s="1154">
        <v>0</v>
      </c>
      <c r="H253" s="1165">
        <f>G253*F253</f>
        <v>0</v>
      </c>
      <c r="I253" s="647"/>
      <c r="J253" s="1156">
        <f t="shared" si="211"/>
        <v>0</v>
      </c>
      <c r="K253" s="647"/>
      <c r="L253" s="1157">
        <f t="shared" si="210"/>
        <v>0</v>
      </c>
      <c r="M253" s="1158">
        <f t="shared" si="212"/>
        <v>0</v>
      </c>
      <c r="N253" s="1159">
        <f t="shared" si="213"/>
        <v>0</v>
      </c>
      <c r="O253" s="647"/>
      <c r="P253" s="1160">
        <f t="shared" si="214"/>
        <v>0</v>
      </c>
      <c r="Q253" s="1166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35.25" hidden="1" customHeight="1" outlineLevel="1">
      <c r="A254" s="1132" t="s">
        <v>325</v>
      </c>
      <c r="B254" s="1167" t="str">
        <f t="shared" si="225"/>
        <v>SANTO-AUGUSTO_SA</v>
      </c>
      <c r="C254" s="1168" t="s">
        <v>1152</v>
      </c>
      <c r="D254" s="1169">
        <v>100</v>
      </c>
      <c r="E254" s="661"/>
      <c r="F254" s="1170">
        <v>1</v>
      </c>
      <c r="G254" s="1171">
        <v>0</v>
      </c>
      <c r="H254" s="1172">
        <f t="shared" ref="H254:H255" si="226">ROUND(G254*F254,2)</f>
        <v>0</v>
      </c>
      <c r="I254" s="1173">
        <f>SUMIF(E252:E254, "&gt;="&amp;1, H252:H254)</f>
        <v>0</v>
      </c>
      <c r="J254" s="1174">
        <f t="shared" si="211"/>
        <v>0</v>
      </c>
      <c r="K254" s="1173">
        <f>J252+J253+J254</f>
        <v>0</v>
      </c>
      <c r="L254" s="1175">
        <f t="shared" si="210"/>
        <v>30</v>
      </c>
      <c r="M254" s="1176">
        <f t="shared" si="212"/>
        <v>0</v>
      </c>
      <c r="N254" s="1177">
        <f t="shared" si="213"/>
        <v>0</v>
      </c>
      <c r="O254" s="1173">
        <f>IF(J252&gt;0, (N252+N253+N254)*1, 0)</f>
        <v>0</v>
      </c>
      <c r="P254" s="1178">
        <f t="shared" si="214"/>
        <v>0</v>
      </c>
      <c r="Q254" s="1179">
        <f>IF(M252&gt;0, (P252+P253+P254)*1, 0)</f>
        <v>0</v>
      </c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35.25" hidden="1" customHeight="1" outlineLevel="1">
      <c r="A255" s="1132" t="s">
        <v>1133</v>
      </c>
      <c r="B255" s="1149" t="str">
        <f>B252</f>
        <v>SANTO-AUGUSTO_SA</v>
      </c>
      <c r="C255" s="1180" t="s">
        <v>9</v>
      </c>
      <c r="D255" s="1163">
        <v>200</v>
      </c>
      <c r="E255" s="1182"/>
      <c r="F255" s="1164">
        <v>1</v>
      </c>
      <c r="G255" s="1154">
        <v>6101.7</v>
      </c>
      <c r="H255" s="1184">
        <f t="shared" si="226"/>
        <v>6101.7</v>
      </c>
      <c r="I255" s="659"/>
      <c r="J255" s="1156">
        <f t="shared" si="211"/>
        <v>0</v>
      </c>
      <c r="K255" s="659"/>
      <c r="L255" s="1157">
        <f t="shared" si="210"/>
        <v>30</v>
      </c>
      <c r="M255" s="1158">
        <f t="shared" si="212"/>
        <v>0</v>
      </c>
      <c r="N255" s="1159">
        <f t="shared" si="213"/>
        <v>0</v>
      </c>
      <c r="O255" s="659"/>
      <c r="P255" s="1160">
        <f t="shared" si="214"/>
        <v>0</v>
      </c>
      <c r="Q255" s="1161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35.25" hidden="1" customHeight="1" outlineLevel="1">
      <c r="A256" s="1132" t="s">
        <v>1133</v>
      </c>
      <c r="B256" s="1149" t="str">
        <f t="shared" ref="B256:B258" si="227">B255</f>
        <v>SANTO-AUGUSTO_SA</v>
      </c>
      <c r="C256" s="1185" t="s">
        <v>1153</v>
      </c>
      <c r="D256" s="1163">
        <v>200</v>
      </c>
      <c r="E256" s="1182"/>
      <c r="F256" s="1164">
        <v>1</v>
      </c>
      <c r="G256" s="1154">
        <v>0</v>
      </c>
      <c r="H256" s="1165">
        <f>G256*F256</f>
        <v>0</v>
      </c>
      <c r="I256" s="647"/>
      <c r="J256" s="1156">
        <f t="shared" si="211"/>
        <v>0</v>
      </c>
      <c r="K256" s="647"/>
      <c r="L256" s="1157">
        <f t="shared" si="210"/>
        <v>0</v>
      </c>
      <c r="M256" s="1158">
        <f t="shared" si="212"/>
        <v>0</v>
      </c>
      <c r="N256" s="1159">
        <f t="shared" si="213"/>
        <v>0</v>
      </c>
      <c r="O256" s="647"/>
      <c r="P256" s="1160">
        <f t="shared" si="214"/>
        <v>0</v>
      </c>
      <c r="Q256" s="1166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35.25" hidden="1" customHeight="1" outlineLevel="1">
      <c r="A257" s="1132" t="s">
        <v>1133</v>
      </c>
      <c r="B257" s="1167" t="str">
        <f t="shared" si="227"/>
        <v>SANTO-AUGUSTO_SA</v>
      </c>
      <c r="C257" s="1168" t="s">
        <v>1154</v>
      </c>
      <c r="D257" s="1169">
        <v>200</v>
      </c>
      <c r="E257" s="661"/>
      <c r="F257" s="1170">
        <v>1</v>
      </c>
      <c r="G257" s="1171">
        <v>0</v>
      </c>
      <c r="H257" s="1155">
        <f>ROUND(G257*F257,2)</f>
        <v>0</v>
      </c>
      <c r="I257" s="1173">
        <f>SUMIF(E255:E257, "&gt;="&amp;1, H255:H257)</f>
        <v>0</v>
      </c>
      <c r="J257" s="1174">
        <f t="shared" si="211"/>
        <v>0</v>
      </c>
      <c r="K257" s="1173">
        <f>J255+J256+J257</f>
        <v>0</v>
      </c>
      <c r="L257" s="1175">
        <f t="shared" si="210"/>
        <v>30</v>
      </c>
      <c r="M257" s="1176">
        <f t="shared" si="212"/>
        <v>0</v>
      </c>
      <c r="N257" s="1177">
        <f t="shared" si="213"/>
        <v>0</v>
      </c>
      <c r="O257" s="1173">
        <f>IF(J255&gt;0, (N255+N256+N257)*1, 0)</f>
        <v>0</v>
      </c>
      <c r="P257" s="1178">
        <f t="shared" si="214"/>
        <v>0</v>
      </c>
      <c r="Q257" s="1179">
        <f>IF(M255&gt;0, (P255+P256+P257)*1, 0)</f>
        <v>0</v>
      </c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35.25" customHeight="1">
      <c r="A258" s="1186" t="s">
        <v>1155</v>
      </c>
      <c r="B258" s="1187" t="str">
        <f t="shared" si="227"/>
        <v>SANTO-AUGUSTO_SA</v>
      </c>
      <c r="C258" s="1188"/>
      <c r="D258" s="1199"/>
      <c r="E258" s="1189"/>
      <c r="F258" s="1200"/>
      <c r="G258" s="1191"/>
      <c r="H258" s="1192"/>
      <c r="I258" s="1193">
        <f t="shared" ref="I258:J258" si="228">SUM(I237:I257)</f>
        <v>25832.870000000003</v>
      </c>
      <c r="J258" s="1193">
        <f t="shared" si="228"/>
        <v>64833.65</v>
      </c>
      <c r="K258" s="1193">
        <f>(K237+K238+K239+K246+K247+K248+K252+K253+K254+K255+K256+K257+K243+K244+K245+K249+K250+K251)</f>
        <v>64833.65</v>
      </c>
      <c r="L258" s="1201"/>
      <c r="M258" s="1202"/>
      <c r="N258" s="1193">
        <f t="shared" ref="N258:Q258" si="229">(N237+N238+N239+N246+N247+N248+N252+N253+N254+N255+N256+N257+N243+N244+N245+N249+N250+N251)</f>
        <v>778003.8</v>
      </c>
      <c r="O258" s="1193">
        <f t="shared" si="229"/>
        <v>778003.8</v>
      </c>
      <c r="P258" s="1202">
        <f t="shared" si="229"/>
        <v>1945009.5000000002</v>
      </c>
      <c r="Q258" s="1193">
        <f t="shared" si="229"/>
        <v>1945009.5000000002</v>
      </c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hidden="1" customHeight="1">
      <c r="A259" s="1132" t="s">
        <v>1133</v>
      </c>
      <c r="B259" s="582" t="s">
        <v>1133</v>
      </c>
      <c r="C259" s="1195"/>
      <c r="D259" s="13"/>
      <c r="E259" s="13"/>
      <c r="F259" s="13"/>
      <c r="G259" s="1197"/>
      <c r="H259" s="1155"/>
      <c r="I259" s="594" t="s">
        <v>1133</v>
      </c>
      <c r="J259" s="1198" t="s">
        <v>1133</v>
      </c>
      <c r="K259" s="594"/>
      <c r="L259" s="1157">
        <f t="shared" ref="L259:L260" si="230">L256</f>
        <v>0</v>
      </c>
      <c r="M259" s="13" t="s">
        <v>1133</v>
      </c>
      <c r="N259" s="592" t="s">
        <v>1133</v>
      </c>
      <c r="O259" s="594" t="s">
        <v>1133</v>
      </c>
      <c r="P259" s="13" t="s">
        <v>1133</v>
      </c>
      <c r="Q259" s="1198" t="s">
        <v>1133</v>
      </c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39" customHeight="1">
      <c r="A260" s="1132" t="s">
        <v>325</v>
      </c>
      <c r="B260" s="1149" t="str">
        <f>'CAMPUS.CONTRATANTE'!D21</f>
        <v>SAO-BORJA__SB</v>
      </c>
      <c r="C260" s="1150" t="s">
        <v>3</v>
      </c>
      <c r="D260" s="1151">
        <v>200</v>
      </c>
      <c r="E260" s="1152">
        <v>2</v>
      </c>
      <c r="F260" s="1153">
        <v>1</v>
      </c>
      <c r="G260" s="1154">
        <v>6948.55</v>
      </c>
      <c r="H260" s="1155">
        <f>ROUND(G260*F260,2)</f>
        <v>6948.55</v>
      </c>
      <c r="I260" s="659"/>
      <c r="J260" s="1156">
        <f>H260*E260</f>
        <v>13897.1</v>
      </c>
      <c r="K260" s="659"/>
      <c r="L260" s="1157">
        <f t="shared" si="230"/>
        <v>30</v>
      </c>
      <c r="M260" s="1158">
        <f t="shared" ref="M260:M280" si="231">L260*E260</f>
        <v>60</v>
      </c>
      <c r="N260" s="1159">
        <f t="shared" ref="N260:N280" si="232">J260*12</f>
        <v>166765.20000000001</v>
      </c>
      <c r="O260" s="659"/>
      <c r="P260" s="1160">
        <f t="shared" ref="P260:P280" si="233">J260*L260</f>
        <v>416913</v>
      </c>
      <c r="Q260" s="1161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39" customHeight="1">
      <c r="A261" s="1132" t="s">
        <v>1133</v>
      </c>
      <c r="B261" s="1149" t="str">
        <f t="shared" ref="B261:B262" si="234">B260</f>
        <v>SAO-BORJA__SB</v>
      </c>
      <c r="C261" s="1162" t="s">
        <v>1141</v>
      </c>
      <c r="D261" s="1163">
        <v>200</v>
      </c>
      <c r="E261" s="1152">
        <v>2</v>
      </c>
      <c r="F261" s="1164">
        <v>1</v>
      </c>
      <c r="G261" s="1154">
        <v>303.68704630333332</v>
      </c>
      <c r="H261" s="1165">
        <f>G261*F261</f>
        <v>303.68704630333332</v>
      </c>
      <c r="I261" s="647"/>
      <c r="J261" s="1156">
        <f t="shared" ref="J261:J262" si="235">H261</f>
        <v>303.68704630333332</v>
      </c>
      <c r="K261" s="647"/>
      <c r="L261" s="1157">
        <f t="shared" ref="L261:L262" si="236">L260</f>
        <v>30</v>
      </c>
      <c r="M261" s="1158">
        <f t="shared" si="231"/>
        <v>60</v>
      </c>
      <c r="N261" s="1159">
        <f t="shared" si="232"/>
        <v>3644.2445556399998</v>
      </c>
      <c r="O261" s="647"/>
      <c r="P261" s="1160">
        <f t="shared" si="233"/>
        <v>9110.6113890999986</v>
      </c>
      <c r="Q261" s="1166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39" customHeight="1">
      <c r="A262" s="1132" t="s">
        <v>1133</v>
      </c>
      <c r="B262" s="1167" t="str">
        <f t="shared" si="234"/>
        <v>SAO-BORJA__SB</v>
      </c>
      <c r="C262" s="1168" t="s">
        <v>1142</v>
      </c>
      <c r="D262" s="1169">
        <v>200</v>
      </c>
      <c r="E262" s="661">
        <v>2</v>
      </c>
      <c r="F262" s="1170">
        <v>1</v>
      </c>
      <c r="G262" s="1171">
        <v>362.27</v>
      </c>
      <c r="H262" s="1172">
        <f t="shared" ref="H262:H263" si="237">ROUND(G262*F262,2)</f>
        <v>362.27</v>
      </c>
      <c r="I262" s="1173">
        <f>SUMIF(E260:E262, "&gt;="&amp;1, H260:H262)</f>
        <v>7614.5070463033335</v>
      </c>
      <c r="J262" s="1174">
        <f t="shared" si="235"/>
        <v>362.27</v>
      </c>
      <c r="K262" s="1173">
        <f>J260+J261+J262</f>
        <v>14563.057046303335</v>
      </c>
      <c r="L262" s="1175">
        <f t="shared" si="236"/>
        <v>30</v>
      </c>
      <c r="M262" s="1176">
        <f t="shared" si="231"/>
        <v>60</v>
      </c>
      <c r="N262" s="1177">
        <f t="shared" si="232"/>
        <v>4347.24</v>
      </c>
      <c r="O262" s="1173">
        <f>IF(J260&gt;0, (N260+N261+N262)*1, 0)</f>
        <v>174756.68455564001</v>
      </c>
      <c r="P262" s="1178">
        <f t="shared" si="233"/>
        <v>10868.099999999999</v>
      </c>
      <c r="Q262" s="1179">
        <f>IF(M260&gt;0, (P260+P261+P262)*1, 0)</f>
        <v>436891.71138909995</v>
      </c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39" customHeight="1" outlineLevel="1">
      <c r="A263" s="1132" t="s">
        <v>1133</v>
      </c>
      <c r="B263" s="1149" t="str">
        <f>B260</f>
        <v>SAO-BORJA__SB</v>
      </c>
      <c r="C263" s="1180" t="s">
        <v>4</v>
      </c>
      <c r="D263" s="1181">
        <v>100</v>
      </c>
      <c r="E263" s="1182">
        <v>1</v>
      </c>
      <c r="F263" s="1164">
        <v>1</v>
      </c>
      <c r="G263" s="1183">
        <v>4410.6899999999996</v>
      </c>
      <c r="H263" s="1184">
        <f t="shared" si="237"/>
        <v>4410.6899999999996</v>
      </c>
      <c r="I263" s="659"/>
      <c r="J263" s="1156">
        <f>H263*E263</f>
        <v>4410.6899999999996</v>
      </c>
      <c r="K263" s="659"/>
      <c r="L263" s="1157">
        <f t="shared" ref="L263:L270" si="238">L260</f>
        <v>30</v>
      </c>
      <c r="M263" s="1158">
        <f t="shared" si="231"/>
        <v>30</v>
      </c>
      <c r="N263" s="1159">
        <f t="shared" si="232"/>
        <v>52928.28</v>
      </c>
      <c r="O263" s="659"/>
      <c r="P263" s="1160">
        <f t="shared" si="233"/>
        <v>132320.69999999998</v>
      </c>
      <c r="Q263" s="1161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39" customHeight="1" outlineLevel="1">
      <c r="A264" s="1132" t="s">
        <v>1133</v>
      </c>
      <c r="B264" s="1149" t="str">
        <f t="shared" ref="B264:B265" si="239">B263</f>
        <v>SAO-BORJA__SB</v>
      </c>
      <c r="C264" s="1185" t="s">
        <v>1143</v>
      </c>
      <c r="D264" s="1163">
        <v>100</v>
      </c>
      <c r="E264" s="1182">
        <v>1</v>
      </c>
      <c r="F264" s="1164">
        <v>1</v>
      </c>
      <c r="G264" s="1183">
        <v>646.9597782925</v>
      </c>
      <c r="H264" s="1165">
        <f>G264*F264</f>
        <v>646.9597782925</v>
      </c>
      <c r="I264" s="647"/>
      <c r="J264" s="1156">
        <f t="shared" ref="J264:J265" si="240">H264</f>
        <v>646.9597782925</v>
      </c>
      <c r="K264" s="647"/>
      <c r="L264" s="1157">
        <f t="shared" si="238"/>
        <v>30</v>
      </c>
      <c r="M264" s="1158">
        <f t="shared" si="231"/>
        <v>30</v>
      </c>
      <c r="N264" s="1159">
        <f t="shared" si="232"/>
        <v>7763.5173395100001</v>
      </c>
      <c r="O264" s="647"/>
      <c r="P264" s="1160">
        <f t="shared" si="233"/>
        <v>19408.793348775002</v>
      </c>
      <c r="Q264" s="1166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39" customHeight="1" outlineLevel="1">
      <c r="A265" s="1132" t="s">
        <v>1133</v>
      </c>
      <c r="B265" s="1167" t="str">
        <f t="shared" si="239"/>
        <v>SAO-BORJA__SB</v>
      </c>
      <c r="C265" s="1168" t="s">
        <v>1144</v>
      </c>
      <c r="D265" s="1169">
        <v>100</v>
      </c>
      <c r="E265" s="661">
        <v>1</v>
      </c>
      <c r="F265" s="1170">
        <v>1</v>
      </c>
      <c r="G265" s="1171">
        <v>181.14</v>
      </c>
      <c r="H265" s="1172">
        <f t="shared" ref="H265:H266" si="241">ROUND(G265*F265,2)</f>
        <v>181.14</v>
      </c>
      <c r="I265" s="1173">
        <f>SUMIF(E263:E265, "&gt;="&amp;1, H263:H265)</f>
        <v>5238.7897782925002</v>
      </c>
      <c r="J265" s="1174">
        <f t="shared" si="240"/>
        <v>181.14</v>
      </c>
      <c r="K265" s="1173">
        <f>J263+J264+J265</f>
        <v>5238.7897782925002</v>
      </c>
      <c r="L265" s="1175">
        <f t="shared" si="238"/>
        <v>30</v>
      </c>
      <c r="M265" s="1176">
        <f t="shared" si="231"/>
        <v>30</v>
      </c>
      <c r="N265" s="1177">
        <f t="shared" si="232"/>
        <v>2173.6799999999998</v>
      </c>
      <c r="O265" s="1173">
        <f>IF(J263&gt;0, (N263+N264+N265)*1, 0)</f>
        <v>62865.477339509998</v>
      </c>
      <c r="P265" s="1178">
        <f t="shared" si="233"/>
        <v>5434.2</v>
      </c>
      <c r="Q265" s="1179">
        <f>IF(M263&gt;0, (P263+P264+P265)*1, 0)</f>
        <v>157163.69334877501</v>
      </c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39" customHeight="1" outlineLevel="1">
      <c r="A266" s="1132" t="s">
        <v>1133</v>
      </c>
      <c r="B266" s="1149" t="str">
        <f>B263</f>
        <v>SAO-BORJA__SB</v>
      </c>
      <c r="C266" s="1180" t="s">
        <v>5</v>
      </c>
      <c r="D266" s="1181">
        <v>200</v>
      </c>
      <c r="E266" s="1182">
        <v>8</v>
      </c>
      <c r="F266" s="1164">
        <v>1</v>
      </c>
      <c r="G266" s="1183">
        <v>6513.6</v>
      </c>
      <c r="H266" s="1184">
        <f t="shared" si="241"/>
        <v>6513.6</v>
      </c>
      <c r="I266" s="659"/>
      <c r="J266" s="1156">
        <f>H266*E266</f>
        <v>52108.800000000003</v>
      </c>
      <c r="K266" s="659"/>
      <c r="L266" s="1157">
        <f t="shared" si="238"/>
        <v>30</v>
      </c>
      <c r="M266" s="1158">
        <f t="shared" si="231"/>
        <v>240</v>
      </c>
      <c r="N266" s="1159">
        <f t="shared" si="232"/>
        <v>625305.60000000009</v>
      </c>
      <c r="O266" s="659"/>
      <c r="P266" s="1160">
        <f t="shared" si="233"/>
        <v>1563264</v>
      </c>
      <c r="Q266" s="1161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39" customHeight="1" outlineLevel="1">
      <c r="A267" s="1132" t="s">
        <v>1133</v>
      </c>
      <c r="B267" s="1149" t="str">
        <f t="shared" ref="B267:B268" si="242">B266</f>
        <v>SAO-BORJA__SB</v>
      </c>
      <c r="C267" s="1185" t="s">
        <v>1145</v>
      </c>
      <c r="D267" s="1163">
        <v>200</v>
      </c>
      <c r="E267" s="1182">
        <v>8</v>
      </c>
      <c r="F267" s="1164">
        <v>1</v>
      </c>
      <c r="G267" s="1183">
        <v>317.48470531666669</v>
      </c>
      <c r="H267" s="1165">
        <f>G267*F267</f>
        <v>317.48470531666669</v>
      </c>
      <c r="I267" s="647"/>
      <c r="J267" s="1156">
        <f t="shared" ref="J267:J268" si="243">H267</f>
        <v>317.48470531666669</v>
      </c>
      <c r="K267" s="647"/>
      <c r="L267" s="1157">
        <f t="shared" si="238"/>
        <v>30</v>
      </c>
      <c r="M267" s="1158">
        <f t="shared" si="231"/>
        <v>240</v>
      </c>
      <c r="N267" s="1159">
        <f t="shared" si="232"/>
        <v>3809.8164638000003</v>
      </c>
      <c r="O267" s="647"/>
      <c r="P267" s="1160">
        <f t="shared" si="233"/>
        <v>9524.5411595000005</v>
      </c>
      <c r="Q267" s="1166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39" customHeight="1" outlineLevel="1">
      <c r="A268" s="1132" t="s">
        <v>1133</v>
      </c>
      <c r="B268" s="1167" t="str">
        <f t="shared" si="242"/>
        <v>SAO-BORJA__SB</v>
      </c>
      <c r="C268" s="1168" t="s">
        <v>1146</v>
      </c>
      <c r="D268" s="1169">
        <v>200</v>
      </c>
      <c r="E268" s="661">
        <v>8</v>
      </c>
      <c r="F268" s="1170">
        <v>1</v>
      </c>
      <c r="G268" s="1171">
        <v>362.27</v>
      </c>
      <c r="H268" s="1172">
        <f t="shared" ref="H268:H269" si="244">ROUND(G268*F268,2)</f>
        <v>362.27</v>
      </c>
      <c r="I268" s="1173">
        <f>SUMIF(E266:E268, "&gt;="&amp;1, H266:H268)</f>
        <v>7193.3547053166676</v>
      </c>
      <c r="J268" s="1174">
        <f t="shared" si="243"/>
        <v>362.27</v>
      </c>
      <c r="K268" s="1173">
        <f>J266+J267+J268</f>
        <v>52788.554705316667</v>
      </c>
      <c r="L268" s="1175">
        <f t="shared" si="238"/>
        <v>30</v>
      </c>
      <c r="M268" s="1176">
        <f t="shared" si="231"/>
        <v>240</v>
      </c>
      <c r="N268" s="1177">
        <f t="shared" si="232"/>
        <v>4347.24</v>
      </c>
      <c r="O268" s="1173">
        <f>IF(J266&gt;0, (N266+N267+N268)*1, 0)</f>
        <v>633462.65646380011</v>
      </c>
      <c r="P268" s="1178">
        <f t="shared" si="233"/>
        <v>10868.099999999999</v>
      </c>
      <c r="Q268" s="1179">
        <f>IF(M266&gt;0, (P266+P267+P268)*1, 0)</f>
        <v>1583656.6411595</v>
      </c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39" customHeight="1" outlineLevel="1">
      <c r="A269" s="1132" t="s">
        <v>1133</v>
      </c>
      <c r="B269" s="1149" t="str">
        <f>B266</f>
        <v>SAO-BORJA__SB</v>
      </c>
      <c r="C269" s="1180" t="s">
        <v>6</v>
      </c>
      <c r="D269" s="1163">
        <v>100</v>
      </c>
      <c r="E269" s="1182">
        <v>3</v>
      </c>
      <c r="F269" s="1164">
        <v>1</v>
      </c>
      <c r="G269" s="1154">
        <v>3871.45</v>
      </c>
      <c r="H269" s="1184">
        <f t="shared" si="244"/>
        <v>3871.45</v>
      </c>
      <c r="I269" s="659"/>
      <c r="J269" s="1156">
        <f>H269*E269</f>
        <v>11614.349999999999</v>
      </c>
      <c r="K269" s="659"/>
      <c r="L269" s="1157">
        <f t="shared" si="238"/>
        <v>30</v>
      </c>
      <c r="M269" s="1158">
        <f t="shared" si="231"/>
        <v>90</v>
      </c>
      <c r="N269" s="1159">
        <f t="shared" si="232"/>
        <v>139372.19999999998</v>
      </c>
      <c r="O269" s="659"/>
      <c r="P269" s="1160">
        <f t="shared" si="233"/>
        <v>348430.49999999994</v>
      </c>
      <c r="Q269" s="1161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39" customHeight="1" outlineLevel="1">
      <c r="A270" s="1132" t="s">
        <v>1133</v>
      </c>
      <c r="B270" s="1149" t="str">
        <f t="shared" ref="B270:B271" si="245">B269</f>
        <v>SAO-BORJA__SB</v>
      </c>
      <c r="C270" s="1185" t="s">
        <v>1147</v>
      </c>
      <c r="D270" s="1163">
        <v>200</v>
      </c>
      <c r="E270" s="1182">
        <v>3</v>
      </c>
      <c r="F270" s="1164">
        <v>1</v>
      </c>
      <c r="G270" s="1154">
        <v>1053.4305575945832</v>
      </c>
      <c r="H270" s="1165">
        <f>G270*F270</f>
        <v>1053.4305575945832</v>
      </c>
      <c r="I270" s="647"/>
      <c r="J270" s="1156">
        <f t="shared" ref="J270:J271" si="246">H270</f>
        <v>1053.4305575945832</v>
      </c>
      <c r="K270" s="647"/>
      <c r="L270" s="1157">
        <f t="shared" si="238"/>
        <v>30</v>
      </c>
      <c r="M270" s="1158">
        <f t="shared" si="231"/>
        <v>90</v>
      </c>
      <c r="N270" s="1159">
        <f t="shared" si="232"/>
        <v>12641.166691134998</v>
      </c>
      <c r="O270" s="647"/>
      <c r="P270" s="1160">
        <f t="shared" si="233"/>
        <v>31602.916727837495</v>
      </c>
      <c r="Q270" s="1166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39" customHeight="1" outlineLevel="1">
      <c r="A271" s="1132" t="s">
        <v>1133</v>
      </c>
      <c r="B271" s="1167" t="str">
        <f t="shared" si="245"/>
        <v>SAO-BORJA__SB</v>
      </c>
      <c r="C271" s="1168" t="s">
        <v>1148</v>
      </c>
      <c r="D271" s="1169">
        <v>100</v>
      </c>
      <c r="E271" s="661">
        <v>3</v>
      </c>
      <c r="F271" s="1170">
        <v>1</v>
      </c>
      <c r="G271" s="1171">
        <v>362.27</v>
      </c>
      <c r="H271" s="1172">
        <f t="shared" ref="H271:H272" si="247">ROUND(G271*F271,2)</f>
        <v>362.27</v>
      </c>
      <c r="I271" s="1173">
        <f>SUMIF(E269:E271, "&gt;="&amp;1, H269:H271)</f>
        <v>5287.150557594583</v>
      </c>
      <c r="J271" s="1174">
        <f t="shared" si="246"/>
        <v>362.27</v>
      </c>
      <c r="K271" s="1173">
        <f>J269+J270+J271</f>
        <v>13030.050557594583</v>
      </c>
      <c r="L271" s="1175">
        <f>L270</f>
        <v>30</v>
      </c>
      <c r="M271" s="1176">
        <f t="shared" si="231"/>
        <v>90</v>
      </c>
      <c r="N271" s="1177">
        <f t="shared" si="232"/>
        <v>4347.24</v>
      </c>
      <c r="O271" s="1173">
        <f>IF(J269&gt;0, (N269+N270+N271)*1, 0)</f>
        <v>156360.60669113498</v>
      </c>
      <c r="P271" s="1178">
        <f t="shared" si="233"/>
        <v>10868.099999999999</v>
      </c>
      <c r="Q271" s="1179">
        <f>IF(M269&gt;0, (P269+P270+P271)*1, 0)</f>
        <v>390901.51672783738</v>
      </c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39" hidden="1" customHeight="1" outlineLevel="1">
      <c r="A272" s="1132" t="s">
        <v>1133</v>
      </c>
      <c r="B272" s="1149" t="str">
        <f>B269</f>
        <v>SAO-BORJA__SB</v>
      </c>
      <c r="C272" s="1180" t="s">
        <v>7</v>
      </c>
      <c r="D272" s="1163">
        <v>200</v>
      </c>
      <c r="E272" s="1182"/>
      <c r="F272" s="1164">
        <v>1</v>
      </c>
      <c r="G272" s="1154">
        <v>12542.649999999998</v>
      </c>
      <c r="H272" s="1184">
        <f t="shared" si="247"/>
        <v>12542.65</v>
      </c>
      <c r="I272" s="659"/>
      <c r="J272" s="1156">
        <f>H272*E272</f>
        <v>0</v>
      </c>
      <c r="K272" s="659"/>
      <c r="L272" s="1157">
        <f t="shared" ref="L272:L280" si="248">L269</f>
        <v>30</v>
      </c>
      <c r="M272" s="1158">
        <f t="shared" si="231"/>
        <v>0</v>
      </c>
      <c r="N272" s="1159">
        <f t="shared" si="232"/>
        <v>0</v>
      </c>
      <c r="O272" s="659"/>
      <c r="P272" s="1160">
        <f t="shared" si="233"/>
        <v>0</v>
      </c>
      <c r="Q272" s="1161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39" hidden="1" customHeight="1" outlineLevel="1">
      <c r="A273" s="1132" t="s">
        <v>1133</v>
      </c>
      <c r="B273" s="1149" t="str">
        <f t="shared" ref="B273:B274" si="249">B272</f>
        <v>SAO-BORJA__SB</v>
      </c>
      <c r="C273" s="1185" t="s">
        <v>1149</v>
      </c>
      <c r="D273" s="1163">
        <v>200</v>
      </c>
      <c r="E273" s="1182"/>
      <c r="F273" s="1164">
        <v>1</v>
      </c>
      <c r="G273" s="1154">
        <v>0</v>
      </c>
      <c r="H273" s="1165">
        <f>G273*F273</f>
        <v>0</v>
      </c>
      <c r="I273" s="647"/>
      <c r="J273" s="1156">
        <f t="shared" ref="J273:J274" si="250">H273</f>
        <v>0</v>
      </c>
      <c r="K273" s="647"/>
      <c r="L273" s="1157">
        <f t="shared" si="248"/>
        <v>30</v>
      </c>
      <c r="M273" s="1158">
        <f t="shared" si="231"/>
        <v>0</v>
      </c>
      <c r="N273" s="1159">
        <f t="shared" si="232"/>
        <v>0</v>
      </c>
      <c r="O273" s="647"/>
      <c r="P273" s="1160">
        <f t="shared" si="233"/>
        <v>0</v>
      </c>
      <c r="Q273" s="1166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39" hidden="1" customHeight="1" outlineLevel="1">
      <c r="A274" s="1132" t="s">
        <v>1133</v>
      </c>
      <c r="B274" s="1167" t="str">
        <f t="shared" si="249"/>
        <v>SAO-BORJA__SB</v>
      </c>
      <c r="C274" s="1168" t="s">
        <v>1150</v>
      </c>
      <c r="D274" s="1169">
        <v>200</v>
      </c>
      <c r="E274" s="661"/>
      <c r="F274" s="1170">
        <v>1</v>
      </c>
      <c r="G274" s="1171">
        <v>0</v>
      </c>
      <c r="H274" s="1172">
        <f t="shared" ref="H274:H275" si="251">ROUND(G274*F274,2)</f>
        <v>0</v>
      </c>
      <c r="I274" s="1173">
        <f>SUMIF(E272:E274, "&gt;="&amp;1, H272:H274)</f>
        <v>0</v>
      </c>
      <c r="J274" s="1174">
        <f t="shared" si="250"/>
        <v>0</v>
      </c>
      <c r="K274" s="1173">
        <f>J272+J273+J274</f>
        <v>0</v>
      </c>
      <c r="L274" s="1175">
        <f t="shared" si="248"/>
        <v>30</v>
      </c>
      <c r="M274" s="1176">
        <f t="shared" si="231"/>
        <v>0</v>
      </c>
      <c r="N274" s="1177">
        <f t="shared" si="232"/>
        <v>0</v>
      </c>
      <c r="O274" s="1173">
        <f>IF(J272&gt;0, (N272+N273+N274)*1, 0)</f>
        <v>0</v>
      </c>
      <c r="P274" s="1178">
        <f t="shared" si="233"/>
        <v>0</v>
      </c>
      <c r="Q274" s="1179">
        <f>IF(M272&gt;0, (P272+P273+P274)*1, 0)</f>
        <v>0</v>
      </c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39" hidden="1" customHeight="1" outlineLevel="1">
      <c r="A275" s="1132" t="s">
        <v>1133</v>
      </c>
      <c r="B275" s="1149" t="str">
        <f>B269</f>
        <v>SAO-BORJA__SB</v>
      </c>
      <c r="C275" s="1180" t="s">
        <v>8</v>
      </c>
      <c r="D275" s="1163">
        <v>100</v>
      </c>
      <c r="E275" s="1182"/>
      <c r="F275" s="1164">
        <v>1</v>
      </c>
      <c r="G275" s="1154">
        <v>6917.05</v>
      </c>
      <c r="H275" s="1184">
        <f t="shared" si="251"/>
        <v>6917.05</v>
      </c>
      <c r="I275" s="659"/>
      <c r="J275" s="1156">
        <f t="shared" ref="J275:J280" si="252">H275*E275</f>
        <v>0</v>
      </c>
      <c r="K275" s="659"/>
      <c r="L275" s="1157">
        <f t="shared" si="248"/>
        <v>30</v>
      </c>
      <c r="M275" s="1158">
        <f t="shared" si="231"/>
        <v>0</v>
      </c>
      <c r="N275" s="1159">
        <f t="shared" si="232"/>
        <v>0</v>
      </c>
      <c r="O275" s="659"/>
      <c r="P275" s="1160">
        <f t="shared" si="233"/>
        <v>0</v>
      </c>
      <c r="Q275" s="1161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39" hidden="1" customHeight="1" outlineLevel="1">
      <c r="A276" s="1132" t="s">
        <v>1133</v>
      </c>
      <c r="B276" s="1149" t="str">
        <f t="shared" ref="B276:B277" si="253">B275</f>
        <v>SAO-BORJA__SB</v>
      </c>
      <c r="C276" s="1185" t="s">
        <v>1151</v>
      </c>
      <c r="D276" s="1163">
        <v>100</v>
      </c>
      <c r="E276" s="1182"/>
      <c r="F276" s="1164">
        <v>1</v>
      </c>
      <c r="G276" s="1154">
        <v>0</v>
      </c>
      <c r="H276" s="1165">
        <f>G276*F276</f>
        <v>0</v>
      </c>
      <c r="I276" s="647"/>
      <c r="J276" s="1156">
        <f t="shared" si="252"/>
        <v>0</v>
      </c>
      <c r="K276" s="647"/>
      <c r="L276" s="1157">
        <f t="shared" si="248"/>
        <v>30</v>
      </c>
      <c r="M276" s="1158">
        <f t="shared" si="231"/>
        <v>0</v>
      </c>
      <c r="N276" s="1159">
        <f t="shared" si="232"/>
        <v>0</v>
      </c>
      <c r="O276" s="647"/>
      <c r="P276" s="1160">
        <f t="shared" si="233"/>
        <v>0</v>
      </c>
      <c r="Q276" s="1166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39" hidden="1" customHeight="1" outlineLevel="1">
      <c r="A277" s="1132" t="s">
        <v>325</v>
      </c>
      <c r="B277" s="1167" t="str">
        <f t="shared" si="253"/>
        <v>SAO-BORJA__SB</v>
      </c>
      <c r="C277" s="1168" t="s">
        <v>1152</v>
      </c>
      <c r="D277" s="1169">
        <v>100</v>
      </c>
      <c r="E277" s="661"/>
      <c r="F277" s="1170">
        <v>1</v>
      </c>
      <c r="G277" s="1171">
        <v>0</v>
      </c>
      <c r="H277" s="1172">
        <f t="shared" ref="H277:H278" si="254">ROUND(G277*F277,2)</f>
        <v>0</v>
      </c>
      <c r="I277" s="1173">
        <f>SUMIF(E275:E277, "&gt;="&amp;1, H275:H277)</f>
        <v>0</v>
      </c>
      <c r="J277" s="1174">
        <f t="shared" si="252"/>
        <v>0</v>
      </c>
      <c r="K277" s="1173">
        <f>J275+J276+J277</f>
        <v>0</v>
      </c>
      <c r="L277" s="1175">
        <f t="shared" si="248"/>
        <v>30</v>
      </c>
      <c r="M277" s="1176">
        <f t="shared" si="231"/>
        <v>0</v>
      </c>
      <c r="N277" s="1177">
        <f t="shared" si="232"/>
        <v>0</v>
      </c>
      <c r="O277" s="1173">
        <f>IF(J275&gt;0, (N275+N276+N277)*1, 0)</f>
        <v>0</v>
      </c>
      <c r="P277" s="1178">
        <f t="shared" si="233"/>
        <v>0</v>
      </c>
      <c r="Q277" s="1179">
        <f>IF(M275&gt;0, (P275+P276+P277)*1, 0)</f>
        <v>0</v>
      </c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39" hidden="1" customHeight="1" outlineLevel="1">
      <c r="A278" s="1132" t="s">
        <v>1133</v>
      </c>
      <c r="B278" s="1149" t="str">
        <f>B275</f>
        <v>SAO-BORJA__SB</v>
      </c>
      <c r="C278" s="1180" t="s">
        <v>9</v>
      </c>
      <c r="D278" s="1163">
        <v>200</v>
      </c>
      <c r="E278" s="1182"/>
      <c r="F278" s="1164">
        <v>1</v>
      </c>
      <c r="G278" s="1154">
        <v>6187.66</v>
      </c>
      <c r="H278" s="1184">
        <f t="shared" si="254"/>
        <v>6187.66</v>
      </c>
      <c r="I278" s="659"/>
      <c r="J278" s="1156">
        <f t="shared" si="252"/>
        <v>0</v>
      </c>
      <c r="K278" s="659"/>
      <c r="L278" s="1157">
        <f t="shared" si="248"/>
        <v>30</v>
      </c>
      <c r="M278" s="1158">
        <f t="shared" si="231"/>
        <v>0</v>
      </c>
      <c r="N278" s="1159">
        <f t="shared" si="232"/>
        <v>0</v>
      </c>
      <c r="O278" s="659"/>
      <c r="P278" s="1160">
        <f t="shared" si="233"/>
        <v>0</v>
      </c>
      <c r="Q278" s="1161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39" hidden="1" customHeight="1" outlineLevel="1">
      <c r="A279" s="1132" t="s">
        <v>1133</v>
      </c>
      <c r="B279" s="1149" t="str">
        <f t="shared" ref="B279:B281" si="255">B278</f>
        <v>SAO-BORJA__SB</v>
      </c>
      <c r="C279" s="1185" t="s">
        <v>1153</v>
      </c>
      <c r="D279" s="1163">
        <v>200</v>
      </c>
      <c r="E279" s="1182"/>
      <c r="F279" s="1164">
        <v>1</v>
      </c>
      <c r="G279" s="1154">
        <v>0</v>
      </c>
      <c r="H279" s="1165">
        <f>G279*F279</f>
        <v>0</v>
      </c>
      <c r="I279" s="647"/>
      <c r="J279" s="1156">
        <f t="shared" si="252"/>
        <v>0</v>
      </c>
      <c r="K279" s="647"/>
      <c r="L279" s="1157">
        <f t="shared" si="248"/>
        <v>30</v>
      </c>
      <c r="M279" s="1158">
        <f t="shared" si="231"/>
        <v>0</v>
      </c>
      <c r="N279" s="1159">
        <f t="shared" si="232"/>
        <v>0</v>
      </c>
      <c r="O279" s="647"/>
      <c r="P279" s="1160">
        <f t="shared" si="233"/>
        <v>0</v>
      </c>
      <c r="Q279" s="1166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39" hidden="1" customHeight="1" outlineLevel="1">
      <c r="A280" s="1132" t="s">
        <v>1133</v>
      </c>
      <c r="B280" s="1167" t="str">
        <f t="shared" si="255"/>
        <v>SAO-BORJA__SB</v>
      </c>
      <c r="C280" s="1168" t="s">
        <v>1154</v>
      </c>
      <c r="D280" s="1169">
        <v>200</v>
      </c>
      <c r="E280" s="661"/>
      <c r="F280" s="1170">
        <v>1</v>
      </c>
      <c r="G280" s="1171">
        <v>0</v>
      </c>
      <c r="H280" s="1155">
        <f>ROUND(G280*F280,2)</f>
        <v>0</v>
      </c>
      <c r="I280" s="1173">
        <f>SUMIF(E278:E280, "&gt;="&amp;1, H278:H280)</f>
        <v>0</v>
      </c>
      <c r="J280" s="1174">
        <f t="shared" si="252"/>
        <v>0</v>
      </c>
      <c r="K280" s="1173">
        <f>J278+J279+J280</f>
        <v>0</v>
      </c>
      <c r="L280" s="1175">
        <f t="shared" si="248"/>
        <v>30</v>
      </c>
      <c r="M280" s="1176">
        <f t="shared" si="231"/>
        <v>0</v>
      </c>
      <c r="N280" s="1177">
        <f t="shared" si="232"/>
        <v>0</v>
      </c>
      <c r="O280" s="1173">
        <f>IF(J278&gt;0, (N278+N279+N280)*1, 0)</f>
        <v>0</v>
      </c>
      <c r="P280" s="1178">
        <f t="shared" si="233"/>
        <v>0</v>
      </c>
      <c r="Q280" s="1179">
        <f>IF(M278&gt;0, (P278+P279+P280)*1, 0)</f>
        <v>0</v>
      </c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35.25" customHeight="1">
      <c r="A281" s="1186" t="s">
        <v>1155</v>
      </c>
      <c r="B281" s="1187" t="str">
        <f t="shared" si="255"/>
        <v>SAO-BORJA__SB</v>
      </c>
      <c r="C281" s="1188"/>
      <c r="D281" s="1199"/>
      <c r="E281" s="1189"/>
      <c r="F281" s="1200"/>
      <c r="G281" s="1191"/>
      <c r="H281" s="1192"/>
      <c r="I281" s="1193">
        <f t="shared" ref="I281:K281" si="256">SUM(I260:I280)</f>
        <v>25333.802087507087</v>
      </c>
      <c r="J281" s="1193">
        <f t="shared" si="256"/>
        <v>85620.452087507074</v>
      </c>
      <c r="K281" s="1193">
        <f t="shared" si="256"/>
        <v>85620.452087507088</v>
      </c>
      <c r="L281" s="1193"/>
      <c r="M281" s="1193"/>
      <c r="N281" s="1193">
        <f t="shared" ref="N281:Q281" si="257">SUM(N260:N280)</f>
        <v>1027445.4250500851</v>
      </c>
      <c r="O281" s="1193">
        <f t="shared" si="257"/>
        <v>1027445.4250500851</v>
      </c>
      <c r="P281" s="1193">
        <f t="shared" si="257"/>
        <v>2568613.5626252126</v>
      </c>
      <c r="Q281" s="1193">
        <f t="shared" si="257"/>
        <v>2568613.5626252121</v>
      </c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hidden="1" customHeight="1">
      <c r="A282" s="1132" t="s">
        <v>1133</v>
      </c>
      <c r="B282" s="582" t="s">
        <v>1133</v>
      </c>
      <c r="C282" s="1195"/>
      <c r="D282" s="13"/>
      <c r="E282" s="13"/>
      <c r="F282" s="13"/>
      <c r="G282" s="1197"/>
      <c r="H282" s="1155"/>
      <c r="I282" s="594" t="s">
        <v>1133</v>
      </c>
      <c r="J282" s="1198" t="s">
        <v>1133</v>
      </c>
      <c r="K282" s="594"/>
      <c r="L282" s="1157">
        <f t="shared" ref="L282:L295" si="258">L279</f>
        <v>30</v>
      </c>
      <c r="M282" s="13" t="s">
        <v>1133</v>
      </c>
      <c r="N282" s="592" t="s">
        <v>1133</v>
      </c>
      <c r="O282" s="594" t="s">
        <v>1133</v>
      </c>
      <c r="P282" s="13" t="s">
        <v>1133</v>
      </c>
      <c r="Q282" s="1198" t="s">
        <v>1133</v>
      </c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39.75" hidden="1" customHeight="1">
      <c r="A283" s="1132" t="s">
        <v>325</v>
      </c>
      <c r="B283" s="1149" t="str">
        <f>'CAMPUS.CONTRATANTE'!D22</f>
        <v>SAO-LUIZ-GONZAGA__SLG</v>
      </c>
      <c r="C283" s="1150" t="s">
        <v>3</v>
      </c>
      <c r="D283" s="1151">
        <v>200</v>
      </c>
      <c r="E283" s="1152"/>
      <c r="F283" s="1153">
        <v>1</v>
      </c>
      <c r="G283" s="1154">
        <v>6862.58</v>
      </c>
      <c r="H283" s="1155">
        <f>ROUND(G283*F283,2)</f>
        <v>6862.58</v>
      </c>
      <c r="I283" s="659"/>
      <c r="J283" s="1156">
        <f t="shared" ref="J283:J303" si="259">H283*E283</f>
        <v>0</v>
      </c>
      <c r="K283" s="659"/>
      <c r="L283" s="1157">
        <f t="shared" si="258"/>
        <v>30</v>
      </c>
      <c r="M283" s="1158">
        <f t="shared" ref="M283:M303" si="260">L283*E283</f>
        <v>0</v>
      </c>
      <c r="N283" s="1159">
        <f t="shared" ref="N283:N303" si="261">J283*12</f>
        <v>0</v>
      </c>
      <c r="O283" s="659"/>
      <c r="P283" s="1160">
        <f t="shared" ref="P283:P303" si="262">J283*L283</f>
        <v>0</v>
      </c>
      <c r="Q283" s="1161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39.75" hidden="1" customHeight="1">
      <c r="A284" s="1132" t="s">
        <v>1133</v>
      </c>
      <c r="B284" s="1149" t="str">
        <f t="shared" ref="B284:B285" si="263">B283</f>
        <v>SAO-LUIZ-GONZAGA__SLG</v>
      </c>
      <c r="C284" s="1162" t="s">
        <v>1141</v>
      </c>
      <c r="D284" s="1163">
        <v>200</v>
      </c>
      <c r="E284" s="1152"/>
      <c r="F284" s="1164">
        <v>1</v>
      </c>
      <c r="G284" s="1154">
        <v>0</v>
      </c>
      <c r="H284" s="1165">
        <f>G284*F284</f>
        <v>0</v>
      </c>
      <c r="I284" s="647"/>
      <c r="J284" s="1156">
        <f t="shared" si="259"/>
        <v>0</v>
      </c>
      <c r="K284" s="647"/>
      <c r="L284" s="1157">
        <f t="shared" si="258"/>
        <v>0</v>
      </c>
      <c r="M284" s="1158">
        <f t="shared" si="260"/>
        <v>0</v>
      </c>
      <c r="N284" s="1159">
        <f t="shared" si="261"/>
        <v>0</v>
      </c>
      <c r="O284" s="647"/>
      <c r="P284" s="1160">
        <f t="shared" si="262"/>
        <v>0</v>
      </c>
      <c r="Q284" s="1166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39.75" hidden="1" customHeight="1">
      <c r="A285" s="1132" t="s">
        <v>1133</v>
      </c>
      <c r="B285" s="1167" t="str">
        <f t="shared" si="263"/>
        <v>SAO-LUIZ-GONZAGA__SLG</v>
      </c>
      <c r="C285" s="1168" t="s">
        <v>1142</v>
      </c>
      <c r="D285" s="1169">
        <v>200</v>
      </c>
      <c r="E285" s="661"/>
      <c r="F285" s="1170">
        <v>1</v>
      </c>
      <c r="G285" s="1171">
        <v>0</v>
      </c>
      <c r="H285" s="1172">
        <f t="shared" ref="H285:H286" si="264">ROUND(G285*F285,2)</f>
        <v>0</v>
      </c>
      <c r="I285" s="1173">
        <f>SUMIF(E283:E285, "&gt;="&amp;1, H283:H285)</f>
        <v>0</v>
      </c>
      <c r="J285" s="1174">
        <f t="shared" si="259"/>
        <v>0</v>
      </c>
      <c r="K285" s="1173">
        <f>J283+J284+J285</f>
        <v>0</v>
      </c>
      <c r="L285" s="1175">
        <f t="shared" si="258"/>
        <v>30</v>
      </c>
      <c r="M285" s="1176">
        <f t="shared" si="260"/>
        <v>0</v>
      </c>
      <c r="N285" s="1177">
        <f t="shared" si="261"/>
        <v>0</v>
      </c>
      <c r="O285" s="1173">
        <f>IF(J283&gt;0, (N283+N284+N285)*1, 0)</f>
        <v>0</v>
      </c>
      <c r="P285" s="1178">
        <f t="shared" si="262"/>
        <v>0</v>
      </c>
      <c r="Q285" s="1179">
        <f>IF(M283&gt;0, (P283+P284+P285)*1, 0)</f>
        <v>0</v>
      </c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39.75" hidden="1" customHeight="1" outlineLevel="1">
      <c r="A286" s="1132" t="s">
        <v>1133</v>
      </c>
      <c r="B286" s="1149" t="str">
        <f>B283</f>
        <v>SAO-LUIZ-GONZAGA__SLG</v>
      </c>
      <c r="C286" s="1180" t="s">
        <v>4</v>
      </c>
      <c r="D286" s="1181">
        <v>100</v>
      </c>
      <c r="E286" s="1182"/>
      <c r="F286" s="1164">
        <v>1</v>
      </c>
      <c r="G286" s="1183">
        <v>4241.7</v>
      </c>
      <c r="H286" s="1184">
        <f t="shared" si="264"/>
        <v>4241.7</v>
      </c>
      <c r="I286" s="659"/>
      <c r="J286" s="1156">
        <f t="shared" si="259"/>
        <v>0</v>
      </c>
      <c r="K286" s="659"/>
      <c r="L286" s="1157">
        <f t="shared" si="258"/>
        <v>30</v>
      </c>
      <c r="M286" s="1158">
        <f t="shared" si="260"/>
        <v>0</v>
      </c>
      <c r="N286" s="1159">
        <f t="shared" si="261"/>
        <v>0</v>
      </c>
      <c r="O286" s="659"/>
      <c r="P286" s="1160">
        <f t="shared" si="262"/>
        <v>0</v>
      </c>
      <c r="Q286" s="1161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39.75" hidden="1" customHeight="1" outlineLevel="1">
      <c r="A287" s="1132" t="s">
        <v>1133</v>
      </c>
      <c r="B287" s="1149" t="str">
        <f t="shared" ref="B287:B288" si="265">B286</f>
        <v>SAO-LUIZ-GONZAGA__SLG</v>
      </c>
      <c r="C287" s="1185" t="s">
        <v>1143</v>
      </c>
      <c r="D287" s="1163">
        <v>100</v>
      </c>
      <c r="E287" s="1182"/>
      <c r="F287" s="1164">
        <v>1</v>
      </c>
      <c r="G287" s="1183">
        <v>0</v>
      </c>
      <c r="H287" s="1165">
        <f>G287*F287</f>
        <v>0</v>
      </c>
      <c r="I287" s="647"/>
      <c r="J287" s="1156">
        <f t="shared" si="259"/>
        <v>0</v>
      </c>
      <c r="K287" s="647"/>
      <c r="L287" s="1157">
        <f t="shared" si="258"/>
        <v>0</v>
      </c>
      <c r="M287" s="1158">
        <f t="shared" si="260"/>
        <v>0</v>
      </c>
      <c r="N287" s="1159">
        <f t="shared" si="261"/>
        <v>0</v>
      </c>
      <c r="O287" s="647"/>
      <c r="P287" s="1160">
        <f t="shared" si="262"/>
        <v>0</v>
      </c>
      <c r="Q287" s="1166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39.75" hidden="1" customHeight="1" outlineLevel="1">
      <c r="A288" s="1132" t="s">
        <v>1133</v>
      </c>
      <c r="B288" s="1167" t="str">
        <f t="shared" si="265"/>
        <v>SAO-LUIZ-GONZAGA__SLG</v>
      </c>
      <c r="C288" s="1168" t="s">
        <v>1144</v>
      </c>
      <c r="D288" s="1169">
        <v>100</v>
      </c>
      <c r="E288" s="661"/>
      <c r="F288" s="1170">
        <v>1</v>
      </c>
      <c r="G288" s="1171">
        <v>0</v>
      </c>
      <c r="H288" s="1172">
        <f t="shared" ref="H288:H289" si="266">ROUND(G288*F288,2)</f>
        <v>0</v>
      </c>
      <c r="I288" s="1173">
        <f>SUMIF(E286:E288, "&gt;="&amp;1, H286:H288)</f>
        <v>0</v>
      </c>
      <c r="J288" s="1174">
        <f t="shared" si="259"/>
        <v>0</v>
      </c>
      <c r="K288" s="1173">
        <f>J286+J287+J288</f>
        <v>0</v>
      </c>
      <c r="L288" s="1175">
        <f t="shared" si="258"/>
        <v>30</v>
      </c>
      <c r="M288" s="1176">
        <f t="shared" si="260"/>
        <v>0</v>
      </c>
      <c r="N288" s="1177">
        <f t="shared" si="261"/>
        <v>0</v>
      </c>
      <c r="O288" s="1173">
        <f>IF(J286&gt;0, (N286+N287+N288)*1, 0)</f>
        <v>0</v>
      </c>
      <c r="P288" s="1178">
        <f t="shared" si="262"/>
        <v>0</v>
      </c>
      <c r="Q288" s="1179">
        <f>IF(M286&gt;0, (P286+P287+P288)*1, 0)</f>
        <v>0</v>
      </c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39.75" hidden="1" customHeight="1" outlineLevel="1">
      <c r="A289" s="1132" t="s">
        <v>1133</v>
      </c>
      <c r="B289" s="1149" t="str">
        <f>B286</f>
        <v>SAO-LUIZ-GONZAGA__SLG</v>
      </c>
      <c r="C289" s="1180" t="s">
        <v>5</v>
      </c>
      <c r="D289" s="1181">
        <v>200</v>
      </c>
      <c r="E289" s="1182"/>
      <c r="F289" s="1164">
        <v>1</v>
      </c>
      <c r="G289" s="1183">
        <v>6427.64</v>
      </c>
      <c r="H289" s="1184">
        <f t="shared" si="266"/>
        <v>6427.64</v>
      </c>
      <c r="I289" s="659"/>
      <c r="J289" s="1156">
        <f t="shared" si="259"/>
        <v>0</v>
      </c>
      <c r="K289" s="659"/>
      <c r="L289" s="1157">
        <f t="shared" si="258"/>
        <v>30</v>
      </c>
      <c r="M289" s="1158">
        <f t="shared" si="260"/>
        <v>0</v>
      </c>
      <c r="N289" s="1159">
        <f t="shared" si="261"/>
        <v>0</v>
      </c>
      <c r="O289" s="659"/>
      <c r="P289" s="1160">
        <f t="shared" si="262"/>
        <v>0</v>
      </c>
      <c r="Q289" s="1161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39.75" hidden="1" customHeight="1" outlineLevel="1">
      <c r="A290" s="1132" t="s">
        <v>1133</v>
      </c>
      <c r="B290" s="1149" t="str">
        <f t="shared" ref="B290:B291" si="267">B289</f>
        <v>SAO-LUIZ-GONZAGA__SLG</v>
      </c>
      <c r="C290" s="1185" t="s">
        <v>1145</v>
      </c>
      <c r="D290" s="1163">
        <v>200</v>
      </c>
      <c r="E290" s="1182"/>
      <c r="F290" s="1164">
        <v>1</v>
      </c>
      <c r="G290" s="1183">
        <v>0</v>
      </c>
      <c r="H290" s="1165">
        <f>G290*F290</f>
        <v>0</v>
      </c>
      <c r="I290" s="647"/>
      <c r="J290" s="1156">
        <f t="shared" si="259"/>
        <v>0</v>
      </c>
      <c r="K290" s="647"/>
      <c r="L290" s="1157">
        <f t="shared" si="258"/>
        <v>0</v>
      </c>
      <c r="M290" s="1158">
        <f t="shared" si="260"/>
        <v>0</v>
      </c>
      <c r="N290" s="1159">
        <f t="shared" si="261"/>
        <v>0</v>
      </c>
      <c r="O290" s="647"/>
      <c r="P290" s="1160">
        <f t="shared" si="262"/>
        <v>0</v>
      </c>
      <c r="Q290" s="1166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39.75" hidden="1" customHeight="1" outlineLevel="1">
      <c r="A291" s="1132" t="s">
        <v>1133</v>
      </c>
      <c r="B291" s="1167" t="str">
        <f t="shared" si="267"/>
        <v>SAO-LUIZ-GONZAGA__SLG</v>
      </c>
      <c r="C291" s="1168" t="s">
        <v>1146</v>
      </c>
      <c r="D291" s="1169">
        <v>200</v>
      </c>
      <c r="E291" s="661"/>
      <c r="F291" s="1170">
        <v>1</v>
      </c>
      <c r="G291" s="1171">
        <v>0</v>
      </c>
      <c r="H291" s="1172">
        <f t="shared" ref="H291:H292" si="268">ROUND(G291*F291,2)</f>
        <v>0</v>
      </c>
      <c r="I291" s="1173">
        <f>SUMIF(E289:E291, "&gt;="&amp;1, H289:H291)</f>
        <v>0</v>
      </c>
      <c r="J291" s="1174">
        <f t="shared" si="259"/>
        <v>0</v>
      </c>
      <c r="K291" s="1173">
        <f>J289+J290+J291</f>
        <v>0</v>
      </c>
      <c r="L291" s="1175">
        <f t="shared" si="258"/>
        <v>30</v>
      </c>
      <c r="M291" s="1176">
        <f t="shared" si="260"/>
        <v>0</v>
      </c>
      <c r="N291" s="1177">
        <f t="shared" si="261"/>
        <v>0</v>
      </c>
      <c r="O291" s="1173">
        <f>IF(J289&gt;0, (N289+N290+N291)*1, 0)</f>
        <v>0</v>
      </c>
      <c r="P291" s="1178">
        <f t="shared" si="262"/>
        <v>0</v>
      </c>
      <c r="Q291" s="1179">
        <f>IF(M289&gt;0, (P289+P290+P291)*1, 0)</f>
        <v>0</v>
      </c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39.75" hidden="1" customHeight="1" outlineLevel="1">
      <c r="A292" s="1132" t="s">
        <v>1133</v>
      </c>
      <c r="B292" s="1149" t="str">
        <f>B289</f>
        <v>SAO-LUIZ-GONZAGA__SLG</v>
      </c>
      <c r="C292" s="1180" t="s">
        <v>6</v>
      </c>
      <c r="D292" s="1163">
        <v>100</v>
      </c>
      <c r="E292" s="1182"/>
      <c r="F292" s="1164">
        <v>1</v>
      </c>
      <c r="G292" s="1154">
        <v>3702.4700000000003</v>
      </c>
      <c r="H292" s="1184">
        <f t="shared" si="268"/>
        <v>3702.47</v>
      </c>
      <c r="I292" s="659"/>
      <c r="J292" s="1156">
        <f t="shared" si="259"/>
        <v>0</v>
      </c>
      <c r="K292" s="659"/>
      <c r="L292" s="1157">
        <f t="shared" si="258"/>
        <v>30</v>
      </c>
      <c r="M292" s="1158">
        <f t="shared" si="260"/>
        <v>0</v>
      </c>
      <c r="N292" s="1159">
        <f t="shared" si="261"/>
        <v>0</v>
      </c>
      <c r="O292" s="659"/>
      <c r="P292" s="1160">
        <f t="shared" si="262"/>
        <v>0</v>
      </c>
      <c r="Q292" s="1161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39.75" hidden="1" customHeight="1" outlineLevel="1">
      <c r="A293" s="1132" t="s">
        <v>1133</v>
      </c>
      <c r="B293" s="1149" t="str">
        <f t="shared" ref="B293:B294" si="269">B292</f>
        <v>SAO-LUIZ-GONZAGA__SLG</v>
      </c>
      <c r="C293" s="1185" t="s">
        <v>1147</v>
      </c>
      <c r="D293" s="1163">
        <v>200</v>
      </c>
      <c r="E293" s="1182"/>
      <c r="F293" s="1164">
        <v>1</v>
      </c>
      <c r="G293" s="1154">
        <v>0</v>
      </c>
      <c r="H293" s="1165">
        <f>G293*F293</f>
        <v>0</v>
      </c>
      <c r="I293" s="647"/>
      <c r="J293" s="1156">
        <f t="shared" si="259"/>
        <v>0</v>
      </c>
      <c r="K293" s="647"/>
      <c r="L293" s="1157">
        <f t="shared" si="258"/>
        <v>0</v>
      </c>
      <c r="M293" s="1158">
        <f t="shared" si="260"/>
        <v>0</v>
      </c>
      <c r="N293" s="1159">
        <f t="shared" si="261"/>
        <v>0</v>
      </c>
      <c r="O293" s="647"/>
      <c r="P293" s="1160">
        <f t="shared" si="262"/>
        <v>0</v>
      </c>
      <c r="Q293" s="1166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39.75" hidden="1" customHeight="1" outlineLevel="1">
      <c r="A294" s="1132" t="s">
        <v>1133</v>
      </c>
      <c r="B294" s="1167" t="str">
        <f t="shared" si="269"/>
        <v>SAO-LUIZ-GONZAGA__SLG</v>
      </c>
      <c r="C294" s="1168" t="s">
        <v>1148</v>
      </c>
      <c r="D294" s="1169">
        <v>100</v>
      </c>
      <c r="E294" s="661"/>
      <c r="F294" s="1170">
        <v>1</v>
      </c>
      <c r="G294" s="1171">
        <v>0</v>
      </c>
      <c r="H294" s="1172">
        <f t="shared" ref="H294:H295" si="270">ROUND(G294*F294,2)</f>
        <v>0</v>
      </c>
      <c r="I294" s="1173">
        <f>SUMIF(E292:E294, "&gt;="&amp;1, H292:H294)</f>
        <v>0</v>
      </c>
      <c r="J294" s="1174">
        <f t="shared" si="259"/>
        <v>0</v>
      </c>
      <c r="K294" s="1173">
        <f>J292+J293+J294</f>
        <v>0</v>
      </c>
      <c r="L294" s="1175">
        <f t="shared" si="258"/>
        <v>30</v>
      </c>
      <c r="M294" s="1176">
        <f t="shared" si="260"/>
        <v>0</v>
      </c>
      <c r="N294" s="1177">
        <f t="shared" si="261"/>
        <v>0</v>
      </c>
      <c r="O294" s="1173">
        <f>IF(J292&gt;0, (N292+N293+N294)*1, 0)</f>
        <v>0</v>
      </c>
      <c r="P294" s="1178">
        <f t="shared" si="262"/>
        <v>0</v>
      </c>
      <c r="Q294" s="1179">
        <f>IF(M292&gt;0, (P292+P293+P294)*1, 0)</f>
        <v>0</v>
      </c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39.75" customHeight="1" outlineLevel="1">
      <c r="A295" s="1132" t="s">
        <v>1133</v>
      </c>
      <c r="B295" s="1149" t="str">
        <f>B292</f>
        <v>SAO-LUIZ-GONZAGA__SLG</v>
      </c>
      <c r="C295" s="1180" t="s">
        <v>7</v>
      </c>
      <c r="D295" s="1163">
        <v>200</v>
      </c>
      <c r="E295" s="1182">
        <v>1</v>
      </c>
      <c r="F295" s="1164">
        <v>1</v>
      </c>
      <c r="G295" s="1154">
        <v>12542.649999999998</v>
      </c>
      <c r="H295" s="1184">
        <f t="shared" si="270"/>
        <v>12542.65</v>
      </c>
      <c r="I295" s="659"/>
      <c r="J295" s="1156">
        <f t="shared" si="259"/>
        <v>12542.65</v>
      </c>
      <c r="K295" s="659"/>
      <c r="L295" s="1157">
        <f t="shared" si="258"/>
        <v>30</v>
      </c>
      <c r="M295" s="1158">
        <f t="shared" si="260"/>
        <v>30</v>
      </c>
      <c r="N295" s="1159">
        <f t="shared" si="261"/>
        <v>150511.79999999999</v>
      </c>
      <c r="O295" s="659"/>
      <c r="P295" s="1160">
        <f t="shared" si="262"/>
        <v>376279.5</v>
      </c>
      <c r="Q295" s="1161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39.75" customHeight="1" outlineLevel="1">
      <c r="A296" s="1132" t="s">
        <v>1133</v>
      </c>
      <c r="B296" s="1149" t="str">
        <f t="shared" ref="B296:B297" si="271">B295</f>
        <v>SAO-LUIZ-GONZAGA__SLG</v>
      </c>
      <c r="C296" s="1185" t="s">
        <v>1149</v>
      </c>
      <c r="D296" s="1163">
        <v>200</v>
      </c>
      <c r="E296" s="1182">
        <v>1</v>
      </c>
      <c r="F296" s="1164">
        <v>1</v>
      </c>
      <c r="G296" s="1154">
        <v>0</v>
      </c>
      <c r="H296" s="1165">
        <f>G296*F296</f>
        <v>0</v>
      </c>
      <c r="I296" s="647"/>
      <c r="J296" s="1156">
        <f t="shared" si="259"/>
        <v>0</v>
      </c>
      <c r="K296" s="647"/>
      <c r="L296" s="1157">
        <f>L295</f>
        <v>30</v>
      </c>
      <c r="M296" s="1158">
        <f t="shared" si="260"/>
        <v>30</v>
      </c>
      <c r="N296" s="1159">
        <f t="shared" si="261"/>
        <v>0</v>
      </c>
      <c r="O296" s="647"/>
      <c r="P296" s="1160">
        <f t="shared" si="262"/>
        <v>0</v>
      </c>
      <c r="Q296" s="1166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39.75" customHeight="1" outlineLevel="1">
      <c r="A297" s="1132" t="s">
        <v>1133</v>
      </c>
      <c r="B297" s="1167" t="str">
        <f t="shared" si="271"/>
        <v>SAO-LUIZ-GONZAGA__SLG</v>
      </c>
      <c r="C297" s="1168" t="s">
        <v>1150</v>
      </c>
      <c r="D297" s="1169">
        <v>200</v>
      </c>
      <c r="E297" s="661">
        <v>1</v>
      </c>
      <c r="F297" s="1170">
        <v>1</v>
      </c>
      <c r="G297" s="1171">
        <v>0</v>
      </c>
      <c r="H297" s="1172">
        <f t="shared" ref="H297:H298" si="272">ROUND(G297*F297,2)</f>
        <v>0</v>
      </c>
      <c r="I297" s="1173">
        <f>SUMIF(E295:E297, "&gt;="&amp;1, H295:H297)</f>
        <v>12542.65</v>
      </c>
      <c r="J297" s="1174">
        <f t="shared" si="259"/>
        <v>0</v>
      </c>
      <c r="K297" s="1173">
        <f>J295+J296+J297</f>
        <v>12542.65</v>
      </c>
      <c r="L297" s="1175">
        <f t="shared" ref="L297:L303" si="273">L294</f>
        <v>30</v>
      </c>
      <c r="M297" s="1176">
        <f t="shared" si="260"/>
        <v>30</v>
      </c>
      <c r="N297" s="1177">
        <f t="shared" si="261"/>
        <v>0</v>
      </c>
      <c r="O297" s="1173">
        <f>IF(J295&gt;0, (N295+N296+N297)*1, 0)</f>
        <v>150511.79999999999</v>
      </c>
      <c r="P297" s="1178">
        <f t="shared" si="262"/>
        <v>0</v>
      </c>
      <c r="Q297" s="1179">
        <f>IF(M295&gt;0, (P295+P296+P297)*1, 0)</f>
        <v>376279.5</v>
      </c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39.75" hidden="1" customHeight="1" outlineLevel="1">
      <c r="A298" s="1132" t="s">
        <v>1133</v>
      </c>
      <c r="B298" s="1149" t="str">
        <f>B292</f>
        <v>SAO-LUIZ-GONZAGA__SLG</v>
      </c>
      <c r="C298" s="1180" t="s">
        <v>8</v>
      </c>
      <c r="D298" s="1163">
        <v>100</v>
      </c>
      <c r="E298" s="1182"/>
      <c r="F298" s="1164">
        <v>1</v>
      </c>
      <c r="G298" s="1154">
        <v>6871.32</v>
      </c>
      <c r="H298" s="1184">
        <f t="shared" si="272"/>
        <v>6871.32</v>
      </c>
      <c r="I298" s="659"/>
      <c r="J298" s="1156">
        <f t="shared" si="259"/>
        <v>0</v>
      </c>
      <c r="K298" s="659"/>
      <c r="L298" s="1157">
        <f t="shared" si="273"/>
        <v>30</v>
      </c>
      <c r="M298" s="1158">
        <f t="shared" si="260"/>
        <v>0</v>
      </c>
      <c r="N298" s="1159">
        <f t="shared" si="261"/>
        <v>0</v>
      </c>
      <c r="O298" s="659"/>
      <c r="P298" s="1160">
        <f t="shared" si="262"/>
        <v>0</v>
      </c>
      <c r="Q298" s="1161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39.75" hidden="1" customHeight="1" outlineLevel="1">
      <c r="A299" s="1132" t="s">
        <v>1133</v>
      </c>
      <c r="B299" s="1149" t="str">
        <f t="shared" ref="B299:B300" si="274">B298</f>
        <v>SAO-LUIZ-GONZAGA__SLG</v>
      </c>
      <c r="C299" s="1185" t="s">
        <v>1151</v>
      </c>
      <c r="D299" s="1163">
        <v>100</v>
      </c>
      <c r="E299" s="1182"/>
      <c r="F299" s="1164">
        <v>1</v>
      </c>
      <c r="G299" s="1154">
        <v>0</v>
      </c>
      <c r="H299" s="1165">
        <f>G299*F299</f>
        <v>0</v>
      </c>
      <c r="I299" s="647"/>
      <c r="J299" s="1156">
        <f t="shared" si="259"/>
        <v>0</v>
      </c>
      <c r="K299" s="647"/>
      <c r="L299" s="1157">
        <f t="shared" si="273"/>
        <v>30</v>
      </c>
      <c r="M299" s="1158">
        <f t="shared" si="260"/>
        <v>0</v>
      </c>
      <c r="N299" s="1159">
        <f t="shared" si="261"/>
        <v>0</v>
      </c>
      <c r="O299" s="647"/>
      <c r="P299" s="1160">
        <f t="shared" si="262"/>
        <v>0</v>
      </c>
      <c r="Q299" s="1166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39.75" hidden="1" customHeight="1" outlineLevel="1">
      <c r="A300" s="1132" t="s">
        <v>325</v>
      </c>
      <c r="B300" s="1167" t="str">
        <f t="shared" si="274"/>
        <v>SAO-LUIZ-GONZAGA__SLG</v>
      </c>
      <c r="C300" s="1168" t="s">
        <v>1152</v>
      </c>
      <c r="D300" s="1169">
        <v>100</v>
      </c>
      <c r="E300" s="661"/>
      <c r="F300" s="1170">
        <v>1</v>
      </c>
      <c r="G300" s="1171">
        <v>0</v>
      </c>
      <c r="H300" s="1172">
        <f t="shared" ref="H300:H301" si="275">ROUND(G300*F300,2)</f>
        <v>0</v>
      </c>
      <c r="I300" s="1173">
        <f>SUMIF(E298:E300, "&gt;="&amp;1, H298:H300)</f>
        <v>0</v>
      </c>
      <c r="J300" s="1174">
        <f t="shared" si="259"/>
        <v>0</v>
      </c>
      <c r="K300" s="1173">
        <f>J298+J299+J300</f>
        <v>0</v>
      </c>
      <c r="L300" s="1175">
        <f t="shared" si="273"/>
        <v>30</v>
      </c>
      <c r="M300" s="1176">
        <f t="shared" si="260"/>
        <v>0</v>
      </c>
      <c r="N300" s="1177">
        <f t="shared" si="261"/>
        <v>0</v>
      </c>
      <c r="O300" s="1173">
        <f>IF(J298&gt;0, (N298+N299+N300)*1, 0)</f>
        <v>0</v>
      </c>
      <c r="P300" s="1178">
        <f t="shared" si="262"/>
        <v>0</v>
      </c>
      <c r="Q300" s="1179">
        <f>IF(M298&gt;0, (P298+P299+P300)*1, 0)</f>
        <v>0</v>
      </c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39.75" hidden="1" customHeight="1" outlineLevel="1">
      <c r="A301" s="1132" t="s">
        <v>1133</v>
      </c>
      <c r="B301" s="1149" t="str">
        <f>B298</f>
        <v>SAO-LUIZ-GONZAGA__SLG</v>
      </c>
      <c r="C301" s="1180" t="s">
        <v>9</v>
      </c>
      <c r="D301" s="1163">
        <v>200</v>
      </c>
      <c r="E301" s="1182"/>
      <c r="F301" s="1164">
        <v>1</v>
      </c>
      <c r="G301" s="1154">
        <v>6101.7</v>
      </c>
      <c r="H301" s="1184">
        <f t="shared" si="275"/>
        <v>6101.7</v>
      </c>
      <c r="I301" s="659"/>
      <c r="J301" s="1156">
        <f t="shared" si="259"/>
        <v>0</v>
      </c>
      <c r="K301" s="659"/>
      <c r="L301" s="1157">
        <f t="shared" si="273"/>
        <v>30</v>
      </c>
      <c r="M301" s="1158">
        <f t="shared" si="260"/>
        <v>0</v>
      </c>
      <c r="N301" s="1159">
        <f t="shared" si="261"/>
        <v>0</v>
      </c>
      <c r="O301" s="659"/>
      <c r="P301" s="1160">
        <f t="shared" si="262"/>
        <v>0</v>
      </c>
      <c r="Q301" s="1161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39.75" hidden="1" customHeight="1" outlineLevel="1">
      <c r="A302" s="1132" t="s">
        <v>1133</v>
      </c>
      <c r="B302" s="1149" t="str">
        <f t="shared" ref="B302:B304" si="276">B301</f>
        <v>SAO-LUIZ-GONZAGA__SLG</v>
      </c>
      <c r="C302" s="1185" t="s">
        <v>1153</v>
      </c>
      <c r="D302" s="1163">
        <v>200</v>
      </c>
      <c r="E302" s="1182"/>
      <c r="F302" s="1164">
        <v>1</v>
      </c>
      <c r="G302" s="1154">
        <v>0</v>
      </c>
      <c r="H302" s="1165">
        <f>G302*F302</f>
        <v>0</v>
      </c>
      <c r="I302" s="647"/>
      <c r="J302" s="1156">
        <f t="shared" si="259"/>
        <v>0</v>
      </c>
      <c r="K302" s="647"/>
      <c r="L302" s="1157">
        <f t="shared" si="273"/>
        <v>30</v>
      </c>
      <c r="M302" s="1158">
        <f t="shared" si="260"/>
        <v>0</v>
      </c>
      <c r="N302" s="1159">
        <f t="shared" si="261"/>
        <v>0</v>
      </c>
      <c r="O302" s="647"/>
      <c r="P302" s="1160">
        <f t="shared" si="262"/>
        <v>0</v>
      </c>
      <c r="Q302" s="1166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39.75" hidden="1" customHeight="1" outlineLevel="1">
      <c r="A303" s="1132" t="s">
        <v>1133</v>
      </c>
      <c r="B303" s="1167" t="str">
        <f t="shared" si="276"/>
        <v>SAO-LUIZ-GONZAGA__SLG</v>
      </c>
      <c r="C303" s="1168" t="s">
        <v>1154</v>
      </c>
      <c r="D303" s="1169">
        <v>200</v>
      </c>
      <c r="E303" s="661"/>
      <c r="F303" s="1170">
        <v>1</v>
      </c>
      <c r="G303" s="1171">
        <v>0</v>
      </c>
      <c r="H303" s="1155">
        <f>ROUND(G303*F303,2)</f>
        <v>0</v>
      </c>
      <c r="I303" s="1173">
        <f>SUMIF(E301:E303, "&gt;="&amp;1, H301:H303)</f>
        <v>0</v>
      </c>
      <c r="J303" s="1174">
        <f t="shared" si="259"/>
        <v>0</v>
      </c>
      <c r="K303" s="1173">
        <f>J301+J302+J303</f>
        <v>0</v>
      </c>
      <c r="L303" s="1175">
        <f t="shared" si="273"/>
        <v>30</v>
      </c>
      <c r="M303" s="1176">
        <f t="shared" si="260"/>
        <v>0</v>
      </c>
      <c r="N303" s="1177">
        <f t="shared" si="261"/>
        <v>0</v>
      </c>
      <c r="O303" s="1173">
        <f>IF(J301&gt;0, (N301+N302+N303)*1, 0)</f>
        <v>0</v>
      </c>
      <c r="P303" s="1178">
        <f t="shared" si="262"/>
        <v>0</v>
      </c>
      <c r="Q303" s="1179">
        <f>IF(M301&gt;0, (P301+P302+P303)*1, 0)</f>
        <v>0</v>
      </c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35.25" customHeight="1">
      <c r="A304" s="1186" t="s">
        <v>1155</v>
      </c>
      <c r="B304" s="1187" t="str">
        <f t="shared" si="276"/>
        <v>SAO-LUIZ-GONZAGA__SLG</v>
      </c>
      <c r="C304" s="1188"/>
      <c r="D304" s="1199"/>
      <c r="E304" s="1189"/>
      <c r="F304" s="1200"/>
      <c r="G304" s="1191"/>
      <c r="H304" s="1192"/>
      <c r="I304" s="1193">
        <f t="shared" ref="I304:K304" si="277">SUM(I283:I303)</f>
        <v>12542.65</v>
      </c>
      <c r="J304" s="1193">
        <f t="shared" si="277"/>
        <v>12542.65</v>
      </c>
      <c r="K304" s="1193">
        <f t="shared" si="277"/>
        <v>12542.65</v>
      </c>
      <c r="L304" s="1193"/>
      <c r="M304" s="1193"/>
      <c r="N304" s="1193">
        <f t="shared" ref="N304:Q304" si="278">SUM(N283:N303)</f>
        <v>150511.79999999999</v>
      </c>
      <c r="O304" s="1193">
        <f t="shared" si="278"/>
        <v>150511.79999999999</v>
      </c>
      <c r="P304" s="1193">
        <f t="shared" si="278"/>
        <v>376279.5</v>
      </c>
      <c r="Q304" s="1193">
        <f t="shared" si="278"/>
        <v>376279.5</v>
      </c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hidden="1" customHeight="1">
      <c r="A305" s="1132" t="s">
        <v>1133</v>
      </c>
      <c r="B305" s="582" t="s">
        <v>1133</v>
      </c>
      <c r="C305" s="1195"/>
      <c r="D305" s="13"/>
      <c r="E305" s="13"/>
      <c r="F305" s="13"/>
      <c r="G305" s="1154"/>
      <c r="H305" s="1155"/>
      <c r="I305" s="594" t="s">
        <v>1133</v>
      </c>
      <c r="J305" s="1198" t="s">
        <v>1133</v>
      </c>
      <c r="K305" s="594"/>
      <c r="L305" s="1157">
        <f t="shared" ref="L305:L312" si="279">L302</f>
        <v>30</v>
      </c>
      <c r="M305" s="13" t="s">
        <v>1133</v>
      </c>
      <c r="N305" s="592" t="s">
        <v>1133</v>
      </c>
      <c r="O305" s="594" t="s">
        <v>1133</v>
      </c>
      <c r="P305" s="13" t="s">
        <v>1133</v>
      </c>
      <c r="Q305" s="1198" t="s">
        <v>1133</v>
      </c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35.25" hidden="1" customHeight="1">
      <c r="A306" s="1132" t="s">
        <v>325</v>
      </c>
      <c r="B306" s="1149" t="str">
        <f>'CAMPUS.CONTRATANTE'!D23</f>
        <v>SAO-VICENTE-DO-SUL__SVS</v>
      </c>
      <c r="C306" s="1150" t="s">
        <v>3</v>
      </c>
      <c r="D306" s="1151">
        <v>200</v>
      </c>
      <c r="E306" s="1152"/>
      <c r="F306" s="1153">
        <v>1</v>
      </c>
      <c r="G306" s="1154">
        <v>7022.63</v>
      </c>
      <c r="H306" s="1155">
        <f>ROUND(G306*F306,2)</f>
        <v>7022.63</v>
      </c>
      <c r="I306" s="659"/>
      <c r="J306" s="1156">
        <f t="shared" ref="J306:J312" si="280">H306*E306</f>
        <v>0</v>
      </c>
      <c r="K306" s="659"/>
      <c r="L306" s="1157">
        <f t="shared" si="279"/>
        <v>30</v>
      </c>
      <c r="M306" s="1158">
        <f t="shared" ref="M306:M326" si="281">L306*E306</f>
        <v>0</v>
      </c>
      <c r="N306" s="1159">
        <f t="shared" ref="N306:N326" si="282">J306*12</f>
        <v>0</v>
      </c>
      <c r="O306" s="659"/>
      <c r="P306" s="1160">
        <f t="shared" ref="P306:P326" si="283">J306*L306</f>
        <v>0</v>
      </c>
      <c r="Q306" s="1161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35.25" hidden="1" customHeight="1">
      <c r="A307" s="1132" t="s">
        <v>1133</v>
      </c>
      <c r="B307" s="1149" t="str">
        <f t="shared" ref="B307:B308" si="284">B306</f>
        <v>SAO-VICENTE-DO-SUL__SVS</v>
      </c>
      <c r="C307" s="1162" t="s">
        <v>1141</v>
      </c>
      <c r="D307" s="1163">
        <v>200</v>
      </c>
      <c r="E307" s="1152"/>
      <c r="F307" s="1164">
        <v>1</v>
      </c>
      <c r="G307" s="1154">
        <v>0</v>
      </c>
      <c r="H307" s="1165">
        <f>G307*F307</f>
        <v>0</v>
      </c>
      <c r="I307" s="647"/>
      <c r="J307" s="1156">
        <f t="shared" si="280"/>
        <v>0</v>
      </c>
      <c r="K307" s="647"/>
      <c r="L307" s="1157">
        <f t="shared" si="279"/>
        <v>0</v>
      </c>
      <c r="M307" s="1158">
        <f t="shared" si="281"/>
        <v>0</v>
      </c>
      <c r="N307" s="1159">
        <f t="shared" si="282"/>
        <v>0</v>
      </c>
      <c r="O307" s="647"/>
      <c r="P307" s="1160">
        <f t="shared" si="283"/>
        <v>0</v>
      </c>
      <c r="Q307" s="1166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35.25" hidden="1" customHeight="1">
      <c r="A308" s="1132" t="s">
        <v>1133</v>
      </c>
      <c r="B308" s="1167" t="str">
        <f t="shared" si="284"/>
        <v>SAO-VICENTE-DO-SUL__SVS</v>
      </c>
      <c r="C308" s="1168" t="s">
        <v>1142</v>
      </c>
      <c r="D308" s="1169">
        <v>200</v>
      </c>
      <c r="E308" s="661"/>
      <c r="F308" s="1170">
        <v>1</v>
      </c>
      <c r="G308" s="1171">
        <v>0</v>
      </c>
      <c r="H308" s="1172">
        <f t="shared" ref="H308:H309" si="285">ROUND(G308*F308,2)</f>
        <v>0</v>
      </c>
      <c r="I308" s="1173">
        <f>SUMIF(E306:E308, "&gt;="&amp;1, H306:H308)</f>
        <v>0</v>
      </c>
      <c r="J308" s="1174">
        <f t="shared" si="280"/>
        <v>0</v>
      </c>
      <c r="K308" s="1173">
        <f>J306+J307+J308</f>
        <v>0</v>
      </c>
      <c r="L308" s="1175">
        <f t="shared" si="279"/>
        <v>30</v>
      </c>
      <c r="M308" s="1176">
        <f t="shared" si="281"/>
        <v>0</v>
      </c>
      <c r="N308" s="1177">
        <f t="shared" si="282"/>
        <v>0</v>
      </c>
      <c r="O308" s="1173">
        <f>IF(J306&gt;0, (N306+N307+N308)*1, 0)</f>
        <v>0</v>
      </c>
      <c r="P308" s="1178">
        <f t="shared" si="283"/>
        <v>0</v>
      </c>
      <c r="Q308" s="1179">
        <f>IF(M306&gt;0, (P306+P307+P308)*1, 0)</f>
        <v>0</v>
      </c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35.25" hidden="1" customHeight="1">
      <c r="A309" s="1132" t="s">
        <v>1133</v>
      </c>
      <c r="B309" s="1149" t="str">
        <f>B306</f>
        <v>SAO-VICENTE-DO-SUL__SVS</v>
      </c>
      <c r="C309" s="1180" t="s">
        <v>4</v>
      </c>
      <c r="D309" s="1181">
        <v>100</v>
      </c>
      <c r="E309" s="1182"/>
      <c r="F309" s="1164">
        <v>1</v>
      </c>
      <c r="G309" s="1183">
        <v>4340.63</v>
      </c>
      <c r="H309" s="1184">
        <f t="shared" si="285"/>
        <v>4340.63</v>
      </c>
      <c r="I309" s="659"/>
      <c r="J309" s="1156">
        <f t="shared" si="280"/>
        <v>0</v>
      </c>
      <c r="K309" s="659"/>
      <c r="L309" s="1157">
        <f t="shared" si="279"/>
        <v>30</v>
      </c>
      <c r="M309" s="1158">
        <f t="shared" si="281"/>
        <v>0</v>
      </c>
      <c r="N309" s="1159">
        <f t="shared" si="282"/>
        <v>0</v>
      </c>
      <c r="O309" s="659"/>
      <c r="P309" s="1160">
        <f t="shared" si="283"/>
        <v>0</v>
      </c>
      <c r="Q309" s="1161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35.25" hidden="1" customHeight="1">
      <c r="A310" s="1132" t="s">
        <v>1133</v>
      </c>
      <c r="B310" s="1149" t="str">
        <f t="shared" ref="B310:B311" si="286">B309</f>
        <v>SAO-VICENTE-DO-SUL__SVS</v>
      </c>
      <c r="C310" s="1185" t="s">
        <v>1143</v>
      </c>
      <c r="D310" s="1163">
        <v>100</v>
      </c>
      <c r="E310" s="1182"/>
      <c r="F310" s="1164">
        <v>1</v>
      </c>
      <c r="G310" s="1183">
        <v>0</v>
      </c>
      <c r="H310" s="1165">
        <f>G310*F310</f>
        <v>0</v>
      </c>
      <c r="I310" s="647"/>
      <c r="J310" s="1156">
        <f t="shared" si="280"/>
        <v>0</v>
      </c>
      <c r="K310" s="647"/>
      <c r="L310" s="1157">
        <f t="shared" si="279"/>
        <v>0</v>
      </c>
      <c r="M310" s="1158">
        <f t="shared" si="281"/>
        <v>0</v>
      </c>
      <c r="N310" s="1159">
        <f t="shared" si="282"/>
        <v>0</v>
      </c>
      <c r="O310" s="647"/>
      <c r="P310" s="1160">
        <f t="shared" si="283"/>
        <v>0</v>
      </c>
      <c r="Q310" s="1166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35.25" hidden="1" customHeight="1">
      <c r="A311" s="1132" t="s">
        <v>1133</v>
      </c>
      <c r="B311" s="1167" t="str">
        <f t="shared" si="286"/>
        <v>SAO-VICENTE-DO-SUL__SVS</v>
      </c>
      <c r="C311" s="1168" t="s">
        <v>1144</v>
      </c>
      <c r="D311" s="1169">
        <v>100</v>
      </c>
      <c r="E311" s="661"/>
      <c r="F311" s="1170">
        <v>1</v>
      </c>
      <c r="G311" s="1171">
        <v>0</v>
      </c>
      <c r="H311" s="1172">
        <f t="shared" ref="H311:H312" si="287">ROUND(G311*F311,2)</f>
        <v>0</v>
      </c>
      <c r="I311" s="1173">
        <f>SUMIF(E309:E311, "&gt;="&amp;1, H309:H311)</f>
        <v>0</v>
      </c>
      <c r="J311" s="1174">
        <f t="shared" si="280"/>
        <v>0</v>
      </c>
      <c r="K311" s="1173">
        <f>J309+J310+J311</f>
        <v>0</v>
      </c>
      <c r="L311" s="1175">
        <f t="shared" si="279"/>
        <v>30</v>
      </c>
      <c r="M311" s="1176">
        <f t="shared" si="281"/>
        <v>0</v>
      </c>
      <c r="N311" s="1177">
        <f t="shared" si="282"/>
        <v>0</v>
      </c>
      <c r="O311" s="1173">
        <f>IF(J309&gt;0, (N309+N310+N311)*1, 0)</f>
        <v>0</v>
      </c>
      <c r="P311" s="1178">
        <f t="shared" si="283"/>
        <v>0</v>
      </c>
      <c r="Q311" s="1179">
        <f>IF(M309&gt;0, (P309+P310+P311)*1, 0)</f>
        <v>0</v>
      </c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35.25" customHeight="1">
      <c r="A312" s="1132" t="s">
        <v>1133</v>
      </c>
      <c r="B312" s="1149" t="str">
        <f>B309</f>
        <v>SAO-VICENTE-DO-SUL__SVS</v>
      </c>
      <c r="C312" s="1180" t="s">
        <v>5</v>
      </c>
      <c r="D312" s="1181">
        <v>200</v>
      </c>
      <c r="E312" s="1182">
        <v>4</v>
      </c>
      <c r="F312" s="1164">
        <v>1</v>
      </c>
      <c r="G312" s="1183">
        <v>6577.55</v>
      </c>
      <c r="H312" s="1184">
        <f t="shared" si="287"/>
        <v>6577.55</v>
      </c>
      <c r="I312" s="659"/>
      <c r="J312" s="1156">
        <f t="shared" si="280"/>
        <v>26310.2</v>
      </c>
      <c r="K312" s="659"/>
      <c r="L312" s="1157">
        <f t="shared" si="279"/>
        <v>30</v>
      </c>
      <c r="M312" s="1158">
        <f t="shared" si="281"/>
        <v>120</v>
      </c>
      <c r="N312" s="1159">
        <f t="shared" si="282"/>
        <v>315722.40000000002</v>
      </c>
      <c r="O312" s="659"/>
      <c r="P312" s="1160">
        <f t="shared" si="283"/>
        <v>789306</v>
      </c>
      <c r="Q312" s="1161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35.25" customHeight="1">
      <c r="A313" s="1132" t="s">
        <v>1133</v>
      </c>
      <c r="B313" s="1149" t="str">
        <f t="shared" ref="B313:B314" si="288">B312</f>
        <v>SAO-VICENTE-DO-SUL__SVS</v>
      </c>
      <c r="C313" s="1185" t="s">
        <v>1145</v>
      </c>
      <c r="D313" s="1163">
        <v>200</v>
      </c>
      <c r="E313" s="1182">
        <v>4</v>
      </c>
      <c r="F313" s="1164">
        <v>1</v>
      </c>
      <c r="G313" s="1183">
        <v>203.06071246875001</v>
      </c>
      <c r="H313" s="1165">
        <f>G313*F313</f>
        <v>203.06071246875001</v>
      </c>
      <c r="I313" s="647"/>
      <c r="J313" s="1156">
        <f t="shared" ref="J313:J314" si="289">H313</f>
        <v>203.06071246875001</v>
      </c>
      <c r="K313" s="647"/>
      <c r="L313" s="1157">
        <f>L312</f>
        <v>30</v>
      </c>
      <c r="M313" s="1158">
        <f t="shared" si="281"/>
        <v>120</v>
      </c>
      <c r="N313" s="1159">
        <f t="shared" si="282"/>
        <v>2436.7285496250001</v>
      </c>
      <c r="O313" s="647"/>
      <c r="P313" s="1160">
        <f t="shared" si="283"/>
        <v>6091.8213740625006</v>
      </c>
      <c r="Q313" s="1166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35.25" customHeight="1">
      <c r="A314" s="1132" t="s">
        <v>1133</v>
      </c>
      <c r="B314" s="1167" t="str">
        <f t="shared" si="288"/>
        <v>SAO-VICENTE-DO-SUL__SVS</v>
      </c>
      <c r="C314" s="1168" t="s">
        <v>1146</v>
      </c>
      <c r="D314" s="1169">
        <v>200</v>
      </c>
      <c r="E314" s="661">
        <v>4</v>
      </c>
      <c r="F314" s="1170">
        <v>1</v>
      </c>
      <c r="G314" s="1171">
        <v>296.56</v>
      </c>
      <c r="H314" s="1172">
        <f t="shared" ref="H314:H315" si="290">ROUND(G314*F314,2)</f>
        <v>296.56</v>
      </c>
      <c r="I314" s="1173">
        <f>SUMIF(E312:E314, "&gt;="&amp;1, H312:H314)</f>
        <v>7077.1707124687509</v>
      </c>
      <c r="J314" s="1174">
        <f t="shared" si="289"/>
        <v>296.56</v>
      </c>
      <c r="K314" s="1173">
        <f>J312+J313+J314</f>
        <v>26809.820712468751</v>
      </c>
      <c r="L314" s="1175">
        <f t="shared" ref="L314:L326" si="291">L311</f>
        <v>30</v>
      </c>
      <c r="M314" s="1176">
        <f t="shared" si="281"/>
        <v>120</v>
      </c>
      <c r="N314" s="1177">
        <f t="shared" si="282"/>
        <v>3558.7200000000003</v>
      </c>
      <c r="O314" s="1173">
        <f>IF(J312&gt;0, (N312+N313+N314)*1, 0)</f>
        <v>321717.84854962502</v>
      </c>
      <c r="P314" s="1178">
        <f t="shared" si="283"/>
        <v>8896.7999999999993</v>
      </c>
      <c r="Q314" s="1179">
        <f>IF(M312&gt;0, (P312+P313+P314)*1, 0)</f>
        <v>804294.6213740625</v>
      </c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35.25" customHeight="1">
      <c r="A315" s="1132" t="s">
        <v>1133</v>
      </c>
      <c r="B315" s="1149" t="str">
        <f>B312</f>
        <v>SAO-VICENTE-DO-SUL__SVS</v>
      </c>
      <c r="C315" s="1180" t="s">
        <v>6</v>
      </c>
      <c r="D315" s="1163">
        <v>100</v>
      </c>
      <c r="E315" s="1182">
        <v>2</v>
      </c>
      <c r="F315" s="1164">
        <v>1</v>
      </c>
      <c r="G315" s="1154">
        <v>3788.83</v>
      </c>
      <c r="H315" s="1184">
        <f t="shared" si="290"/>
        <v>3788.83</v>
      </c>
      <c r="I315" s="659"/>
      <c r="J315" s="1156">
        <f>H315*E315</f>
        <v>7577.66</v>
      </c>
      <c r="K315" s="659"/>
      <c r="L315" s="1157">
        <f t="shared" si="291"/>
        <v>30</v>
      </c>
      <c r="M315" s="1158">
        <f t="shared" si="281"/>
        <v>60</v>
      </c>
      <c r="N315" s="1159">
        <f t="shared" si="282"/>
        <v>90931.92</v>
      </c>
      <c r="O315" s="659"/>
      <c r="P315" s="1160">
        <f t="shared" si="283"/>
        <v>227329.8</v>
      </c>
      <c r="Q315" s="1161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35.25" customHeight="1">
      <c r="A316" s="1132" t="s">
        <v>1133</v>
      </c>
      <c r="B316" s="1149" t="str">
        <f t="shared" ref="B316:B317" si="292">B315</f>
        <v>SAO-VICENTE-DO-SUL__SVS</v>
      </c>
      <c r="C316" s="1185" t="s">
        <v>1147</v>
      </c>
      <c r="D316" s="1163">
        <v>200</v>
      </c>
      <c r="E316" s="1182">
        <v>2</v>
      </c>
      <c r="F316" s="1164">
        <v>1</v>
      </c>
      <c r="G316" s="1154">
        <v>810.20678139427082</v>
      </c>
      <c r="H316" s="1165">
        <f>G316*F316</f>
        <v>810.20678139427082</v>
      </c>
      <c r="I316" s="647"/>
      <c r="J316" s="1156">
        <f t="shared" ref="J316:J317" si="293">H316</f>
        <v>810.20678139427082</v>
      </c>
      <c r="K316" s="647"/>
      <c r="L316" s="1157">
        <f t="shared" si="291"/>
        <v>30</v>
      </c>
      <c r="M316" s="1158">
        <f t="shared" si="281"/>
        <v>60</v>
      </c>
      <c r="N316" s="1159">
        <f t="shared" si="282"/>
        <v>9722.4813767312498</v>
      </c>
      <c r="O316" s="647"/>
      <c r="P316" s="1160">
        <f t="shared" si="283"/>
        <v>24306.203441828126</v>
      </c>
      <c r="Q316" s="1166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35.25" customHeight="1">
      <c r="A317" s="1132" t="s">
        <v>1133</v>
      </c>
      <c r="B317" s="1167" t="str">
        <f t="shared" si="292"/>
        <v>SAO-VICENTE-DO-SUL__SVS</v>
      </c>
      <c r="C317" s="1168" t="s">
        <v>1148</v>
      </c>
      <c r="D317" s="1169">
        <v>100</v>
      </c>
      <c r="E317" s="661">
        <v>2</v>
      </c>
      <c r="F317" s="1170">
        <v>1</v>
      </c>
      <c r="G317" s="1171">
        <v>296.56</v>
      </c>
      <c r="H317" s="1172">
        <f t="shared" ref="H317:H318" si="294">ROUND(G317*F317,2)</f>
        <v>296.56</v>
      </c>
      <c r="I317" s="1173">
        <f>SUMIF(E315:E317, "&gt;="&amp;1, H315:H317)</f>
        <v>4895.5967813942707</v>
      </c>
      <c r="J317" s="1174">
        <f t="shared" si="293"/>
        <v>296.56</v>
      </c>
      <c r="K317" s="1173">
        <f>J315+J316+J317</f>
        <v>8684.4267813942697</v>
      </c>
      <c r="L317" s="1175">
        <f t="shared" si="291"/>
        <v>30</v>
      </c>
      <c r="M317" s="1176">
        <f t="shared" si="281"/>
        <v>60</v>
      </c>
      <c r="N317" s="1177">
        <f t="shared" si="282"/>
        <v>3558.7200000000003</v>
      </c>
      <c r="O317" s="1173">
        <f>IF(J315&gt;0, (N315+N316+N317)*1, 0)</f>
        <v>104213.12137673124</v>
      </c>
      <c r="P317" s="1178">
        <f t="shared" si="283"/>
        <v>8896.7999999999993</v>
      </c>
      <c r="Q317" s="1179">
        <f>IF(M315&gt;0, (P315+P316+P317)*1, 0)</f>
        <v>260532.80344182812</v>
      </c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35.25" customHeight="1">
      <c r="A318" s="1132" t="s">
        <v>1133</v>
      </c>
      <c r="B318" s="1149" t="str">
        <f>B315</f>
        <v>SAO-VICENTE-DO-SUL__SVS</v>
      </c>
      <c r="C318" s="1180" t="s">
        <v>7</v>
      </c>
      <c r="D318" s="1163">
        <v>200</v>
      </c>
      <c r="E318" s="1182">
        <v>2</v>
      </c>
      <c r="F318" s="1164">
        <v>1</v>
      </c>
      <c r="G318" s="1154">
        <v>12835.189999999999</v>
      </c>
      <c r="H318" s="1184">
        <f t="shared" si="294"/>
        <v>12835.19</v>
      </c>
      <c r="I318" s="659"/>
      <c r="J318" s="1156">
        <f>H318*E318</f>
        <v>25670.38</v>
      </c>
      <c r="K318" s="659"/>
      <c r="L318" s="1157">
        <f t="shared" si="291"/>
        <v>30</v>
      </c>
      <c r="M318" s="1158">
        <f t="shared" si="281"/>
        <v>60</v>
      </c>
      <c r="N318" s="1159">
        <f t="shared" si="282"/>
        <v>308044.56</v>
      </c>
      <c r="O318" s="659"/>
      <c r="P318" s="1160">
        <f t="shared" si="283"/>
        <v>770111.4</v>
      </c>
      <c r="Q318" s="1161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35.25" customHeight="1">
      <c r="A319" s="1132" t="s">
        <v>1133</v>
      </c>
      <c r="B319" s="1149" t="str">
        <f t="shared" ref="B319:B320" si="295">B318</f>
        <v>SAO-VICENTE-DO-SUL__SVS</v>
      </c>
      <c r="C319" s="1185" t="s">
        <v>1149</v>
      </c>
      <c r="D319" s="1163">
        <v>200</v>
      </c>
      <c r="E319" s="1182">
        <v>2</v>
      </c>
      <c r="F319" s="1164">
        <v>1</v>
      </c>
      <c r="G319" s="1154">
        <v>933.005495263125</v>
      </c>
      <c r="H319" s="1165">
        <f>G319*F319</f>
        <v>933.005495263125</v>
      </c>
      <c r="I319" s="647"/>
      <c r="J319" s="1156">
        <f t="shared" ref="J319:J320" si="296">H319</f>
        <v>933.005495263125</v>
      </c>
      <c r="K319" s="647"/>
      <c r="L319" s="1157">
        <f t="shared" si="291"/>
        <v>30</v>
      </c>
      <c r="M319" s="1158">
        <f t="shared" si="281"/>
        <v>60</v>
      </c>
      <c r="N319" s="1159">
        <f t="shared" si="282"/>
        <v>11196.0659431575</v>
      </c>
      <c r="O319" s="647"/>
      <c r="P319" s="1160">
        <f t="shared" si="283"/>
        <v>27990.164857893749</v>
      </c>
      <c r="Q319" s="1166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35.25" customHeight="1">
      <c r="A320" s="1132" t="s">
        <v>1133</v>
      </c>
      <c r="B320" s="1167" t="str">
        <f t="shared" si="295"/>
        <v>SAO-VICENTE-DO-SUL__SVS</v>
      </c>
      <c r="C320" s="1168" t="s">
        <v>1150</v>
      </c>
      <c r="D320" s="1169">
        <v>200</v>
      </c>
      <c r="E320" s="661">
        <v>2</v>
      </c>
      <c r="F320" s="1170">
        <v>1</v>
      </c>
      <c r="G320" s="1171">
        <v>296.56</v>
      </c>
      <c r="H320" s="1172">
        <f t="shared" ref="H320:H321" si="297">ROUND(G320*F320,2)</f>
        <v>296.56</v>
      </c>
      <c r="I320" s="1173">
        <f>SUMIF(E318:E320, "&gt;="&amp;1, H318:H320)</f>
        <v>14064.755495263125</v>
      </c>
      <c r="J320" s="1174">
        <f t="shared" si="296"/>
        <v>296.56</v>
      </c>
      <c r="K320" s="1173">
        <f>J318+J319+J320</f>
        <v>26899.945495263128</v>
      </c>
      <c r="L320" s="1175">
        <f t="shared" si="291"/>
        <v>30</v>
      </c>
      <c r="M320" s="1176">
        <f t="shared" si="281"/>
        <v>60</v>
      </c>
      <c r="N320" s="1177">
        <f t="shared" si="282"/>
        <v>3558.7200000000003</v>
      </c>
      <c r="O320" s="1173">
        <f>IF(J318&gt;0, (N318+N319+N320)*1, 0)</f>
        <v>322799.34594315744</v>
      </c>
      <c r="P320" s="1178">
        <f t="shared" si="283"/>
        <v>8896.7999999999993</v>
      </c>
      <c r="Q320" s="1179">
        <f>IF(M318&gt;0, (P318+P319+P320)*1, 0)</f>
        <v>806998.36485789379</v>
      </c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35.25" hidden="1" customHeight="1">
      <c r="A321" s="1132" t="s">
        <v>1133</v>
      </c>
      <c r="B321" s="1149" t="str">
        <f>B315</f>
        <v>SAO-VICENTE-DO-SUL__SVS</v>
      </c>
      <c r="C321" s="1180" t="s">
        <v>8</v>
      </c>
      <c r="D321" s="1163">
        <v>100</v>
      </c>
      <c r="E321" s="1182"/>
      <c r="F321" s="1164">
        <v>1</v>
      </c>
      <c r="G321" s="1154">
        <v>7031.58</v>
      </c>
      <c r="H321" s="1184">
        <f t="shared" si="297"/>
        <v>7031.58</v>
      </c>
      <c r="I321" s="659"/>
      <c r="J321" s="1156">
        <f>H321*E321</f>
        <v>0</v>
      </c>
      <c r="K321" s="659"/>
      <c r="L321" s="1157">
        <f t="shared" si="291"/>
        <v>30</v>
      </c>
      <c r="M321" s="1158">
        <f t="shared" si="281"/>
        <v>0</v>
      </c>
      <c r="N321" s="1159">
        <f t="shared" si="282"/>
        <v>0</v>
      </c>
      <c r="O321" s="659"/>
      <c r="P321" s="1160">
        <f t="shared" si="283"/>
        <v>0</v>
      </c>
      <c r="Q321" s="1161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35.25" hidden="1" customHeight="1">
      <c r="A322" s="1132" t="s">
        <v>1133</v>
      </c>
      <c r="B322" s="1149" t="str">
        <f t="shared" ref="B322:B323" si="298">B321</f>
        <v>SAO-VICENTE-DO-SUL__SVS</v>
      </c>
      <c r="C322" s="1185" t="s">
        <v>1151</v>
      </c>
      <c r="D322" s="1163">
        <v>100</v>
      </c>
      <c r="E322" s="1182"/>
      <c r="F322" s="1164">
        <v>1</v>
      </c>
      <c r="G322" s="1154">
        <v>0</v>
      </c>
      <c r="H322" s="1165">
        <f>G322*F322</f>
        <v>0</v>
      </c>
      <c r="I322" s="647"/>
      <c r="J322" s="1156">
        <f t="shared" ref="J322:J323" si="299">H322</f>
        <v>0</v>
      </c>
      <c r="K322" s="647"/>
      <c r="L322" s="1157">
        <f t="shared" si="291"/>
        <v>30</v>
      </c>
      <c r="M322" s="1158">
        <f t="shared" si="281"/>
        <v>0</v>
      </c>
      <c r="N322" s="1159">
        <f t="shared" si="282"/>
        <v>0</v>
      </c>
      <c r="O322" s="647"/>
      <c r="P322" s="1160">
        <f t="shared" si="283"/>
        <v>0</v>
      </c>
      <c r="Q322" s="1166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35.25" hidden="1" customHeight="1">
      <c r="A323" s="1132" t="s">
        <v>325</v>
      </c>
      <c r="B323" s="1167" t="str">
        <f t="shared" si="298"/>
        <v>SAO-VICENTE-DO-SUL__SVS</v>
      </c>
      <c r="C323" s="1168" t="s">
        <v>1152</v>
      </c>
      <c r="D323" s="1169">
        <v>100</v>
      </c>
      <c r="E323" s="661"/>
      <c r="F323" s="1170">
        <v>1</v>
      </c>
      <c r="G323" s="1171">
        <v>0</v>
      </c>
      <c r="H323" s="1172">
        <f t="shared" ref="H323:H324" si="300">ROUND(G323*F323,2)</f>
        <v>0</v>
      </c>
      <c r="I323" s="1173">
        <f>SUMIF(E321:E323, "&gt;="&amp;1, H321:H323)</f>
        <v>0</v>
      </c>
      <c r="J323" s="1174">
        <f t="shared" si="299"/>
        <v>0</v>
      </c>
      <c r="K323" s="1173">
        <f>J321+J322+J323</f>
        <v>0</v>
      </c>
      <c r="L323" s="1175">
        <f t="shared" si="291"/>
        <v>30</v>
      </c>
      <c r="M323" s="1176">
        <f t="shared" si="281"/>
        <v>0</v>
      </c>
      <c r="N323" s="1177">
        <f t="shared" si="282"/>
        <v>0</v>
      </c>
      <c r="O323" s="1173">
        <f>IF(J321&gt;0, (N321+N322+N323)*1, 0)</f>
        <v>0</v>
      </c>
      <c r="P323" s="1178">
        <f t="shared" si="283"/>
        <v>0</v>
      </c>
      <c r="Q323" s="1179">
        <f>IF(M321&gt;0, (P321+P322+P323)*1, 0)</f>
        <v>0</v>
      </c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35.25" hidden="1" customHeight="1" outlineLevel="1">
      <c r="A324" s="1132" t="s">
        <v>1133</v>
      </c>
      <c r="B324" s="1149" t="str">
        <f>B321</f>
        <v>SAO-VICENTE-DO-SUL__SVS</v>
      </c>
      <c r="C324" s="1180" t="s">
        <v>9</v>
      </c>
      <c r="D324" s="1163">
        <v>200</v>
      </c>
      <c r="E324" s="1182"/>
      <c r="F324" s="1164">
        <v>1</v>
      </c>
      <c r="G324" s="1154">
        <v>6244.01</v>
      </c>
      <c r="H324" s="1184">
        <f t="shared" si="300"/>
        <v>6244.01</v>
      </c>
      <c r="I324" s="659"/>
      <c r="J324" s="1156">
        <f t="shared" ref="J324:J326" si="301">H324*E324</f>
        <v>0</v>
      </c>
      <c r="K324" s="659"/>
      <c r="L324" s="1157">
        <f t="shared" si="291"/>
        <v>30</v>
      </c>
      <c r="M324" s="1158">
        <f t="shared" si="281"/>
        <v>0</v>
      </c>
      <c r="N324" s="1159">
        <f t="shared" si="282"/>
        <v>0</v>
      </c>
      <c r="O324" s="659"/>
      <c r="P324" s="1160">
        <f t="shared" si="283"/>
        <v>0</v>
      </c>
      <c r="Q324" s="1161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35.25" hidden="1" customHeight="1" outlineLevel="1">
      <c r="A325" s="1132" t="s">
        <v>1133</v>
      </c>
      <c r="B325" s="1149" t="str">
        <f t="shared" ref="B325:B327" si="302">B324</f>
        <v>SAO-VICENTE-DO-SUL__SVS</v>
      </c>
      <c r="C325" s="1185" t="s">
        <v>1153</v>
      </c>
      <c r="D325" s="1163">
        <v>200</v>
      </c>
      <c r="E325" s="1182"/>
      <c r="F325" s="1164">
        <v>1</v>
      </c>
      <c r="G325" s="1154">
        <v>0</v>
      </c>
      <c r="H325" s="1165">
        <f>G325*F325</f>
        <v>0</v>
      </c>
      <c r="I325" s="647"/>
      <c r="J325" s="1156">
        <f t="shared" si="301"/>
        <v>0</v>
      </c>
      <c r="K325" s="647"/>
      <c r="L325" s="1157">
        <f t="shared" si="291"/>
        <v>30</v>
      </c>
      <c r="M325" s="1158">
        <f t="shared" si="281"/>
        <v>0</v>
      </c>
      <c r="N325" s="1159">
        <f t="shared" si="282"/>
        <v>0</v>
      </c>
      <c r="O325" s="647"/>
      <c r="P325" s="1160">
        <f t="shared" si="283"/>
        <v>0</v>
      </c>
      <c r="Q325" s="1166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35.25" hidden="1" customHeight="1" outlineLevel="1">
      <c r="A326" s="1132" t="s">
        <v>1133</v>
      </c>
      <c r="B326" s="1167" t="str">
        <f t="shared" si="302"/>
        <v>SAO-VICENTE-DO-SUL__SVS</v>
      </c>
      <c r="C326" s="1168" t="s">
        <v>1154</v>
      </c>
      <c r="D326" s="1169">
        <v>200</v>
      </c>
      <c r="E326" s="661"/>
      <c r="F326" s="1170">
        <v>1</v>
      </c>
      <c r="G326" s="1171">
        <v>0</v>
      </c>
      <c r="H326" s="1155">
        <f>ROUND(G326*F326,2)</f>
        <v>0</v>
      </c>
      <c r="I326" s="1173">
        <f>SUMIF(E324:E326, "&gt;="&amp;1, H324:H326)</f>
        <v>0</v>
      </c>
      <c r="J326" s="1174">
        <f t="shared" si="301"/>
        <v>0</v>
      </c>
      <c r="K326" s="1173">
        <f>J324+J325+J326</f>
        <v>0</v>
      </c>
      <c r="L326" s="1175">
        <f t="shared" si="291"/>
        <v>30</v>
      </c>
      <c r="M326" s="1176">
        <f t="shared" si="281"/>
        <v>0</v>
      </c>
      <c r="N326" s="1177">
        <f t="shared" si="282"/>
        <v>0</v>
      </c>
      <c r="O326" s="1173">
        <f>IF(J324&gt;0, (N324+N325+N326)*1, 0)</f>
        <v>0</v>
      </c>
      <c r="P326" s="1178">
        <f t="shared" si="283"/>
        <v>0</v>
      </c>
      <c r="Q326" s="1179">
        <f>IF(M324&gt;0, (P324+P325+P326)*1, 0)</f>
        <v>0</v>
      </c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35.25" customHeight="1">
      <c r="A327" s="1186" t="s">
        <v>1155</v>
      </c>
      <c r="B327" s="1187" t="str">
        <f t="shared" si="302"/>
        <v>SAO-VICENTE-DO-SUL__SVS</v>
      </c>
      <c r="C327" s="1188"/>
      <c r="D327" s="1199"/>
      <c r="E327" s="1189"/>
      <c r="F327" s="1200"/>
      <c r="G327" s="1191"/>
      <c r="H327" s="1192"/>
      <c r="I327" s="1193">
        <f t="shared" ref="I327:K327" si="303">SUM(I306:I326)</f>
        <v>26037.522989126148</v>
      </c>
      <c r="J327" s="1193">
        <f t="shared" si="303"/>
        <v>62394.192989126146</v>
      </c>
      <c r="K327" s="1193">
        <f t="shared" si="303"/>
        <v>62394.192989126146</v>
      </c>
      <c r="L327" s="1193"/>
      <c r="M327" s="1193"/>
      <c r="N327" s="1193">
        <f t="shared" ref="N327:Q327" si="304">SUM(N306:N326)</f>
        <v>748730.31586951367</v>
      </c>
      <c r="O327" s="1193">
        <f t="shared" si="304"/>
        <v>748730.31586951367</v>
      </c>
      <c r="P327" s="1193">
        <f t="shared" si="304"/>
        <v>1871825.7896737845</v>
      </c>
      <c r="Q327" s="1193">
        <f t="shared" si="304"/>
        <v>1871825.7896737843</v>
      </c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hidden="1" customHeight="1">
      <c r="A328" s="1132" t="s">
        <v>1133</v>
      </c>
      <c r="B328" s="582" t="s">
        <v>1133</v>
      </c>
      <c r="C328" s="1195"/>
      <c r="D328" s="13"/>
      <c r="E328" s="13"/>
      <c r="F328" s="13"/>
      <c r="G328" s="1154"/>
      <c r="H328" s="1155"/>
      <c r="I328" s="594" t="s">
        <v>1133</v>
      </c>
      <c r="J328" s="1198" t="s">
        <v>1133</v>
      </c>
      <c r="K328" s="594"/>
      <c r="L328" s="1157">
        <f t="shared" ref="L328:L329" si="305">L325</f>
        <v>30</v>
      </c>
      <c r="M328" s="13" t="s">
        <v>1133</v>
      </c>
      <c r="N328" s="592" t="s">
        <v>1133</v>
      </c>
      <c r="O328" s="594" t="s">
        <v>1133</v>
      </c>
      <c r="P328" s="13" t="s">
        <v>1133</v>
      </c>
      <c r="Q328" s="1198" t="s">
        <v>1133</v>
      </c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34.5" customHeight="1">
      <c r="A329" s="1132" t="s">
        <v>325</v>
      </c>
      <c r="B329" s="1149" t="str">
        <f>'CAMPUS.CONTRATANTE'!D24</f>
        <v>URUGUAIANA__URUG</v>
      </c>
      <c r="C329" s="1150" t="s">
        <v>3</v>
      </c>
      <c r="D329" s="1151">
        <v>200</v>
      </c>
      <c r="E329" s="1152">
        <v>1</v>
      </c>
      <c r="F329" s="1153">
        <v>1</v>
      </c>
      <c r="G329" s="1154">
        <v>6987</v>
      </c>
      <c r="H329" s="1155">
        <f>ROUND(G329*F329,2)</f>
        <v>6987</v>
      </c>
      <c r="I329" s="659"/>
      <c r="J329" s="1156">
        <f t="shared" ref="J329:J332" si="306">H329*E329</f>
        <v>6987</v>
      </c>
      <c r="K329" s="659"/>
      <c r="L329" s="1157">
        <f t="shared" si="305"/>
        <v>30</v>
      </c>
      <c r="M329" s="1158">
        <f t="shared" ref="M329:M349" si="307">L329*E329</f>
        <v>30</v>
      </c>
      <c r="N329" s="1159">
        <f t="shared" ref="N329:N349" si="308">J329*12</f>
        <v>83844</v>
      </c>
      <c r="O329" s="659"/>
      <c r="P329" s="1160">
        <f t="shared" ref="P329:P349" si="309">J329*L329</f>
        <v>209610</v>
      </c>
      <c r="Q329" s="1161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34.5" customHeight="1">
      <c r="A330" s="1132" t="s">
        <v>1133</v>
      </c>
      <c r="B330" s="1149" t="str">
        <f t="shared" ref="B330:B331" si="310">B329</f>
        <v>URUGUAIANA__URUG</v>
      </c>
      <c r="C330" s="1162" t="s">
        <v>1141</v>
      </c>
      <c r="D330" s="1163">
        <v>200</v>
      </c>
      <c r="E330" s="1152">
        <v>1</v>
      </c>
      <c r="F330" s="1164">
        <v>1</v>
      </c>
      <c r="G330" s="1154">
        <v>142.30033854635417</v>
      </c>
      <c r="H330" s="1165">
        <f>G330*F330</f>
        <v>142.30033854635417</v>
      </c>
      <c r="I330" s="647"/>
      <c r="J330" s="1156">
        <f t="shared" si="306"/>
        <v>142.30033854635417</v>
      </c>
      <c r="K330" s="647"/>
      <c r="L330" s="1157">
        <f>L329</f>
        <v>30</v>
      </c>
      <c r="M330" s="1158">
        <f t="shared" si="307"/>
        <v>30</v>
      </c>
      <c r="N330" s="1159">
        <f t="shared" si="308"/>
        <v>1707.60406255625</v>
      </c>
      <c r="O330" s="647"/>
      <c r="P330" s="1160">
        <f t="shared" si="309"/>
        <v>4269.0101563906246</v>
      </c>
      <c r="Q330" s="1166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34.5" customHeight="1">
      <c r="A331" s="1132" t="s">
        <v>1133</v>
      </c>
      <c r="B331" s="1167" t="str">
        <f t="shared" si="310"/>
        <v>URUGUAIANA__URUG</v>
      </c>
      <c r="C331" s="1168" t="s">
        <v>1142</v>
      </c>
      <c r="D331" s="1169">
        <v>200</v>
      </c>
      <c r="E331" s="661">
        <v>1</v>
      </c>
      <c r="F331" s="1170">
        <v>1</v>
      </c>
      <c r="G331" s="1171">
        <v>217.37</v>
      </c>
      <c r="H331" s="1172">
        <f t="shared" ref="H331:H332" si="311">ROUND(G331*F331,2)</f>
        <v>217.37</v>
      </c>
      <c r="I331" s="1173">
        <f>SUMIF(E329:E331, "&gt;="&amp;1, H329:H331)</f>
        <v>7346.6703385463543</v>
      </c>
      <c r="J331" s="1174">
        <f t="shared" si="306"/>
        <v>217.37</v>
      </c>
      <c r="K331" s="1173">
        <f>J329+J330+J331</f>
        <v>7346.6703385463543</v>
      </c>
      <c r="L331" s="1175">
        <f t="shared" ref="L331:L349" si="312">L328</f>
        <v>30</v>
      </c>
      <c r="M331" s="1176">
        <f t="shared" si="307"/>
        <v>30</v>
      </c>
      <c r="N331" s="1177">
        <f t="shared" si="308"/>
        <v>2608.44</v>
      </c>
      <c r="O331" s="1173">
        <f>IF(J329&gt;0, (N329+N330+N331)*1, 0)</f>
        <v>88160.044062556248</v>
      </c>
      <c r="P331" s="1178">
        <f t="shared" si="309"/>
        <v>6521.1</v>
      </c>
      <c r="Q331" s="1179">
        <f>IF(M329&gt;0, (P329+P330+P331)*1, 0)</f>
        <v>220400.11015639064</v>
      </c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34.5" customHeight="1">
      <c r="A332" s="1132" t="s">
        <v>1133</v>
      </c>
      <c r="B332" s="1149" t="str">
        <f>B329</f>
        <v>URUGUAIANA__URUG</v>
      </c>
      <c r="C332" s="1180" t="s">
        <v>4</v>
      </c>
      <c r="D332" s="1181">
        <v>100</v>
      </c>
      <c r="E332" s="1182">
        <v>2</v>
      </c>
      <c r="F332" s="1164">
        <v>1</v>
      </c>
      <c r="G332" s="1183">
        <v>4449.13</v>
      </c>
      <c r="H332" s="1184">
        <f t="shared" si="311"/>
        <v>4449.13</v>
      </c>
      <c r="I332" s="659"/>
      <c r="J332" s="1156">
        <f t="shared" si="306"/>
        <v>8898.26</v>
      </c>
      <c r="K332" s="659"/>
      <c r="L332" s="1157">
        <f t="shared" si="312"/>
        <v>30</v>
      </c>
      <c r="M332" s="1158">
        <f t="shared" si="307"/>
        <v>60</v>
      </c>
      <c r="N332" s="1159">
        <f t="shared" si="308"/>
        <v>106779.12</v>
      </c>
      <c r="O332" s="659"/>
      <c r="P332" s="1160">
        <f t="shared" si="309"/>
        <v>266947.8</v>
      </c>
      <c r="Q332" s="1161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34.5" customHeight="1">
      <c r="A333" s="1132" t="s">
        <v>1133</v>
      </c>
      <c r="B333" s="1149" t="str">
        <f t="shared" ref="B333:B334" si="313">B332</f>
        <v>URUGUAIANA__URUG</v>
      </c>
      <c r="C333" s="1185" t="s">
        <v>1143</v>
      </c>
      <c r="D333" s="1163">
        <v>100</v>
      </c>
      <c r="E333" s="1182">
        <v>2</v>
      </c>
      <c r="F333" s="1164">
        <v>1</v>
      </c>
      <c r="G333" s="1183">
        <v>529.12040222552082</v>
      </c>
      <c r="H333" s="1165">
        <f>G333*F333</f>
        <v>529.12040222552082</v>
      </c>
      <c r="I333" s="647"/>
      <c r="J333" s="1156">
        <f t="shared" ref="J333:J334" si="314">H333</f>
        <v>529.12040222552082</v>
      </c>
      <c r="K333" s="647"/>
      <c r="L333" s="1157">
        <f t="shared" si="312"/>
        <v>30</v>
      </c>
      <c r="M333" s="1158">
        <f t="shared" si="307"/>
        <v>60</v>
      </c>
      <c r="N333" s="1159">
        <f t="shared" si="308"/>
        <v>6349.4448267062498</v>
      </c>
      <c r="O333" s="647"/>
      <c r="P333" s="1160">
        <f t="shared" si="309"/>
        <v>15873.612066765625</v>
      </c>
      <c r="Q333" s="1166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34.5" customHeight="1">
      <c r="A334" s="1132" t="s">
        <v>1133</v>
      </c>
      <c r="B334" s="1167" t="str">
        <f t="shared" si="313"/>
        <v>URUGUAIANA__URUG</v>
      </c>
      <c r="C334" s="1168" t="s">
        <v>1144</v>
      </c>
      <c r="D334" s="1169">
        <v>100</v>
      </c>
      <c r="E334" s="661">
        <v>2</v>
      </c>
      <c r="F334" s="1170">
        <v>1</v>
      </c>
      <c r="G334" s="1171">
        <v>217.37</v>
      </c>
      <c r="H334" s="1172">
        <f t="shared" ref="H334:H335" si="315">ROUND(G334*F334,2)</f>
        <v>217.37</v>
      </c>
      <c r="I334" s="1173">
        <f>SUMIF(E332:E334, "&gt;="&amp;1, H332:H334)</f>
        <v>5195.6204022255206</v>
      </c>
      <c r="J334" s="1174">
        <f t="shared" si="314"/>
        <v>217.37</v>
      </c>
      <c r="K334" s="1173">
        <f>J332+J333+J334</f>
        <v>9644.7504022255216</v>
      </c>
      <c r="L334" s="1175">
        <f t="shared" si="312"/>
        <v>30</v>
      </c>
      <c r="M334" s="1176">
        <f t="shared" si="307"/>
        <v>60</v>
      </c>
      <c r="N334" s="1177">
        <f t="shared" si="308"/>
        <v>2608.44</v>
      </c>
      <c r="O334" s="1173">
        <f>IF(J332&gt;0, (N332+N333+N334)*1, 0)</f>
        <v>115737.00482670625</v>
      </c>
      <c r="P334" s="1178">
        <f t="shared" si="309"/>
        <v>6521.1</v>
      </c>
      <c r="Q334" s="1179">
        <f>IF(M332&gt;0, (P332+P333+P334)*1, 0)</f>
        <v>289342.51206676557</v>
      </c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34.5" customHeight="1">
      <c r="A335" s="1132" t="s">
        <v>1133</v>
      </c>
      <c r="B335" s="1149" t="str">
        <f>B332</f>
        <v>URUGUAIANA__URUG</v>
      </c>
      <c r="C335" s="1180" t="s">
        <v>5</v>
      </c>
      <c r="D335" s="1181">
        <v>200</v>
      </c>
      <c r="E335" s="1182">
        <v>4</v>
      </c>
      <c r="F335" s="1164">
        <v>1</v>
      </c>
      <c r="G335" s="1183">
        <v>6552.06</v>
      </c>
      <c r="H335" s="1184">
        <f t="shared" si="315"/>
        <v>6552.06</v>
      </c>
      <c r="I335" s="659"/>
      <c r="J335" s="1156">
        <f>H335*E335</f>
        <v>26208.240000000002</v>
      </c>
      <c r="K335" s="659"/>
      <c r="L335" s="1157">
        <f t="shared" si="312"/>
        <v>30</v>
      </c>
      <c r="M335" s="1158">
        <f t="shared" si="307"/>
        <v>120</v>
      </c>
      <c r="N335" s="1159">
        <f t="shared" si="308"/>
        <v>314498.88</v>
      </c>
      <c r="O335" s="659"/>
      <c r="P335" s="1160">
        <f t="shared" si="309"/>
        <v>786247.20000000007</v>
      </c>
      <c r="Q335" s="1161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34.5" customHeight="1">
      <c r="A336" s="1132" t="s">
        <v>1133</v>
      </c>
      <c r="B336" s="1149" t="str">
        <f t="shared" ref="B336:B337" si="316">B335</f>
        <v>URUGUAIANA__URUG</v>
      </c>
      <c r="C336" s="1185" t="s">
        <v>1145</v>
      </c>
      <c r="D336" s="1163">
        <v>200</v>
      </c>
      <c r="E336" s="1182">
        <v>4</v>
      </c>
      <c r="F336" s="1164">
        <v>1</v>
      </c>
      <c r="G336" s="1183">
        <v>530.41076568906249</v>
      </c>
      <c r="H336" s="1165">
        <f>G336*F336</f>
        <v>530.41076568906249</v>
      </c>
      <c r="I336" s="647"/>
      <c r="J336" s="1156">
        <f t="shared" ref="J336:J337" si="317">H336</f>
        <v>530.41076568906249</v>
      </c>
      <c r="K336" s="647"/>
      <c r="L336" s="1157">
        <f t="shared" si="312"/>
        <v>30</v>
      </c>
      <c r="M336" s="1158">
        <f t="shared" si="307"/>
        <v>120</v>
      </c>
      <c r="N336" s="1159">
        <f t="shared" si="308"/>
        <v>6364.9291882687503</v>
      </c>
      <c r="O336" s="647"/>
      <c r="P336" s="1160">
        <f t="shared" si="309"/>
        <v>15912.322970671874</v>
      </c>
      <c r="Q336" s="1166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34.5" customHeight="1">
      <c r="A337" s="1132" t="s">
        <v>1133</v>
      </c>
      <c r="B337" s="1167" t="str">
        <f t="shared" si="316"/>
        <v>URUGUAIANA__URUG</v>
      </c>
      <c r="C337" s="1168" t="s">
        <v>1146</v>
      </c>
      <c r="D337" s="1169">
        <v>200</v>
      </c>
      <c r="E337" s="661">
        <v>4</v>
      </c>
      <c r="F337" s="1170">
        <v>1</v>
      </c>
      <c r="G337" s="1171">
        <v>217.37</v>
      </c>
      <c r="H337" s="1172">
        <f t="shared" ref="H337:H338" si="318">ROUND(G337*F337,2)</f>
        <v>217.37</v>
      </c>
      <c r="I337" s="1173">
        <f>SUMIF(E335:E337, "&gt;="&amp;1, H335:H337)</f>
        <v>7299.8407656890631</v>
      </c>
      <c r="J337" s="1174">
        <f t="shared" si="317"/>
        <v>217.37</v>
      </c>
      <c r="K337" s="1173">
        <f>J335+J336+J337</f>
        <v>26956.020765689063</v>
      </c>
      <c r="L337" s="1175">
        <f t="shared" si="312"/>
        <v>30</v>
      </c>
      <c r="M337" s="1176">
        <f t="shared" si="307"/>
        <v>120</v>
      </c>
      <c r="N337" s="1177">
        <f t="shared" si="308"/>
        <v>2608.44</v>
      </c>
      <c r="O337" s="1173">
        <f>IF(J335&gt;0, (N335+N336+N337)*1, 0)</f>
        <v>323472.24918826873</v>
      </c>
      <c r="P337" s="1178">
        <f t="shared" si="309"/>
        <v>6521.1</v>
      </c>
      <c r="Q337" s="1179">
        <f>IF(M335&gt;0, (P335+P336+P337)*1, 0)</f>
        <v>808680.62297067198</v>
      </c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34.5" customHeight="1">
      <c r="A338" s="1132" t="s">
        <v>1133</v>
      </c>
      <c r="B338" s="1149" t="str">
        <f>B335</f>
        <v>URUGUAIANA__URUG</v>
      </c>
      <c r="C338" s="1180" t="s">
        <v>6</v>
      </c>
      <c r="D338" s="1163">
        <v>100</v>
      </c>
      <c r="E338" s="1182">
        <v>2</v>
      </c>
      <c r="F338" s="1164">
        <v>1</v>
      </c>
      <c r="G338" s="1154">
        <v>3909.9</v>
      </c>
      <c r="H338" s="1184">
        <f t="shared" si="318"/>
        <v>3909.9</v>
      </c>
      <c r="I338" s="659"/>
      <c r="J338" s="1156">
        <f>H338*E338</f>
        <v>7819.8</v>
      </c>
      <c r="K338" s="659"/>
      <c r="L338" s="1157">
        <f t="shared" si="312"/>
        <v>30</v>
      </c>
      <c r="M338" s="1158">
        <f t="shared" si="307"/>
        <v>60</v>
      </c>
      <c r="N338" s="1159">
        <f t="shared" si="308"/>
        <v>93837.6</v>
      </c>
      <c r="O338" s="659"/>
      <c r="P338" s="1160">
        <f t="shared" si="309"/>
        <v>234594</v>
      </c>
      <c r="Q338" s="1161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34.5" customHeight="1">
      <c r="A339" s="1132" t="s">
        <v>1133</v>
      </c>
      <c r="B339" s="1149" t="str">
        <f t="shared" ref="B339:B340" si="319">B338</f>
        <v>URUGUAIANA__URUG</v>
      </c>
      <c r="C339" s="1185" t="s">
        <v>1147</v>
      </c>
      <c r="D339" s="1163">
        <v>200</v>
      </c>
      <c r="E339" s="1182">
        <v>2</v>
      </c>
      <c r="F339" s="1164">
        <v>1</v>
      </c>
      <c r="G339" s="1154">
        <v>431.40494436250003</v>
      </c>
      <c r="H339" s="1165">
        <f>G339*F339</f>
        <v>431.40494436250003</v>
      </c>
      <c r="I339" s="647"/>
      <c r="J339" s="1156">
        <f t="shared" ref="J339:J340" si="320">H339</f>
        <v>431.40494436250003</v>
      </c>
      <c r="K339" s="647"/>
      <c r="L339" s="1157">
        <f t="shared" si="312"/>
        <v>30</v>
      </c>
      <c r="M339" s="1158">
        <f t="shared" si="307"/>
        <v>60</v>
      </c>
      <c r="N339" s="1159">
        <f t="shared" si="308"/>
        <v>5176.8593323500008</v>
      </c>
      <c r="O339" s="647"/>
      <c r="P339" s="1160">
        <f t="shared" si="309"/>
        <v>12942.148330875001</v>
      </c>
      <c r="Q339" s="1166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34.5" customHeight="1">
      <c r="A340" s="1132" t="s">
        <v>1133</v>
      </c>
      <c r="B340" s="1167" t="str">
        <f t="shared" si="319"/>
        <v>URUGUAIANA__URUG</v>
      </c>
      <c r="C340" s="1168" t="s">
        <v>1148</v>
      </c>
      <c r="D340" s="1169">
        <v>100</v>
      </c>
      <c r="E340" s="661">
        <v>2</v>
      </c>
      <c r="F340" s="1170">
        <v>1</v>
      </c>
      <c r="G340" s="1171">
        <v>0</v>
      </c>
      <c r="H340" s="1172">
        <f t="shared" ref="H340:H341" si="321">ROUND(G340*F340,2)</f>
        <v>0</v>
      </c>
      <c r="I340" s="1173">
        <f>SUMIF(E338:E340, "&gt;="&amp;1, H338:H340)</f>
        <v>4341.3049443625005</v>
      </c>
      <c r="J340" s="1174">
        <f t="shared" si="320"/>
        <v>0</v>
      </c>
      <c r="K340" s="1173">
        <f>J338+J339+J340</f>
        <v>8251.2049443625001</v>
      </c>
      <c r="L340" s="1175">
        <f t="shared" si="312"/>
        <v>30</v>
      </c>
      <c r="M340" s="1176">
        <f t="shared" si="307"/>
        <v>60</v>
      </c>
      <c r="N340" s="1177">
        <f t="shared" si="308"/>
        <v>0</v>
      </c>
      <c r="O340" s="1173">
        <f>IF(J338&gt;0, (N338+N339+N340)*1, 0)</f>
        <v>99014.459332350001</v>
      </c>
      <c r="P340" s="1178">
        <f t="shared" si="309"/>
        <v>0</v>
      </c>
      <c r="Q340" s="1179">
        <f>IF(M338&gt;0, (P338+P339+P340)*1, 0)</f>
        <v>247536.148330875</v>
      </c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34.5" hidden="1" customHeight="1">
      <c r="A341" s="1132" t="s">
        <v>1133</v>
      </c>
      <c r="B341" s="1149" t="str">
        <f>B335</f>
        <v>URUGUAIANA__URUG</v>
      </c>
      <c r="C341" s="1180" t="s">
        <v>7</v>
      </c>
      <c r="D341" s="1163">
        <v>200</v>
      </c>
      <c r="E341" s="1182"/>
      <c r="F341" s="1164">
        <v>1</v>
      </c>
      <c r="G341" s="1154">
        <v>12554.869999999999</v>
      </c>
      <c r="H341" s="1184">
        <f t="shared" si="321"/>
        <v>12554.87</v>
      </c>
      <c r="I341" s="659"/>
      <c r="J341" s="1156">
        <f t="shared" ref="J341:J344" si="322">H341*E341</f>
        <v>0</v>
      </c>
      <c r="K341" s="659"/>
      <c r="L341" s="1157">
        <f t="shared" si="312"/>
        <v>30</v>
      </c>
      <c r="M341" s="1158">
        <f t="shared" si="307"/>
        <v>0</v>
      </c>
      <c r="N341" s="1159">
        <f t="shared" si="308"/>
        <v>0</v>
      </c>
      <c r="O341" s="659"/>
      <c r="P341" s="1160">
        <f t="shared" si="309"/>
        <v>0</v>
      </c>
      <c r="Q341" s="1161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34.5" hidden="1" customHeight="1">
      <c r="A342" s="1132" t="s">
        <v>1133</v>
      </c>
      <c r="B342" s="1149" t="str">
        <f t="shared" ref="B342:B343" si="323">B341</f>
        <v>URUGUAIANA__URUG</v>
      </c>
      <c r="C342" s="1185" t="s">
        <v>1149</v>
      </c>
      <c r="D342" s="1163">
        <v>200</v>
      </c>
      <c r="E342" s="1182"/>
      <c r="F342" s="1164">
        <v>1</v>
      </c>
      <c r="G342" s="1154">
        <v>0</v>
      </c>
      <c r="H342" s="1165">
        <f>G342*F342</f>
        <v>0</v>
      </c>
      <c r="I342" s="647"/>
      <c r="J342" s="1156">
        <f t="shared" si="322"/>
        <v>0</v>
      </c>
      <c r="K342" s="647"/>
      <c r="L342" s="1157">
        <f t="shared" si="312"/>
        <v>30</v>
      </c>
      <c r="M342" s="1158">
        <f t="shared" si="307"/>
        <v>0</v>
      </c>
      <c r="N342" s="1159">
        <f t="shared" si="308"/>
        <v>0</v>
      </c>
      <c r="O342" s="647"/>
      <c r="P342" s="1160">
        <f t="shared" si="309"/>
        <v>0</v>
      </c>
      <c r="Q342" s="1166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34.5" hidden="1" customHeight="1">
      <c r="A343" s="1132" t="s">
        <v>1133</v>
      </c>
      <c r="B343" s="1167" t="str">
        <f t="shared" si="323"/>
        <v>URUGUAIANA__URUG</v>
      </c>
      <c r="C343" s="1168" t="s">
        <v>1150</v>
      </c>
      <c r="D343" s="1169">
        <v>200</v>
      </c>
      <c r="E343" s="661"/>
      <c r="F343" s="1170">
        <v>1</v>
      </c>
      <c r="G343" s="1171">
        <v>0</v>
      </c>
      <c r="H343" s="1172">
        <f t="shared" ref="H343:H344" si="324">ROUND(G343*F343,2)</f>
        <v>0</v>
      </c>
      <c r="I343" s="1173">
        <f>SUMIF(E341:E343, "&gt;="&amp;1, H341:H343)</f>
        <v>0</v>
      </c>
      <c r="J343" s="1174">
        <f t="shared" si="322"/>
        <v>0</v>
      </c>
      <c r="K343" s="1173">
        <f>J341+J342+J343</f>
        <v>0</v>
      </c>
      <c r="L343" s="1175">
        <f t="shared" si="312"/>
        <v>30</v>
      </c>
      <c r="M343" s="1176">
        <f t="shared" si="307"/>
        <v>0</v>
      </c>
      <c r="N343" s="1177">
        <f t="shared" si="308"/>
        <v>0</v>
      </c>
      <c r="O343" s="1173">
        <f>IF(J341&gt;0, (N341+N342+N343)*1, 0)</f>
        <v>0</v>
      </c>
      <c r="P343" s="1178">
        <f t="shared" si="309"/>
        <v>0</v>
      </c>
      <c r="Q343" s="1179">
        <f>IF(M341&gt;0, (P341+P342+P343)*1, 0)</f>
        <v>0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34.5" customHeight="1">
      <c r="A344" s="1132" t="s">
        <v>1133</v>
      </c>
      <c r="B344" s="1149" t="str">
        <f>B341</f>
        <v>URUGUAIANA__URUG</v>
      </c>
      <c r="C344" s="1180" t="s">
        <v>8</v>
      </c>
      <c r="D344" s="1163">
        <v>100</v>
      </c>
      <c r="E344" s="1182">
        <v>1</v>
      </c>
      <c r="F344" s="1164">
        <v>1</v>
      </c>
      <c r="G344" s="1154">
        <v>6955.5</v>
      </c>
      <c r="H344" s="1184">
        <f t="shared" si="324"/>
        <v>6955.5</v>
      </c>
      <c r="I344" s="659"/>
      <c r="J344" s="1156">
        <f t="shared" si="322"/>
        <v>6955.5</v>
      </c>
      <c r="K344" s="659"/>
      <c r="L344" s="1157">
        <f t="shared" si="312"/>
        <v>30</v>
      </c>
      <c r="M344" s="1158">
        <f t="shared" si="307"/>
        <v>30</v>
      </c>
      <c r="N344" s="1159">
        <f t="shared" si="308"/>
        <v>83466</v>
      </c>
      <c r="O344" s="659"/>
      <c r="P344" s="1160">
        <f t="shared" si="309"/>
        <v>208665</v>
      </c>
      <c r="Q344" s="1161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34.5" customHeight="1">
      <c r="A345" s="1132" t="s">
        <v>1133</v>
      </c>
      <c r="B345" s="1149" t="str">
        <f t="shared" ref="B345:B346" si="325">B344</f>
        <v>URUGUAIANA__URUG</v>
      </c>
      <c r="C345" s="1185" t="s">
        <v>1151</v>
      </c>
      <c r="D345" s="1163">
        <v>100</v>
      </c>
      <c r="E345" s="1182">
        <v>1</v>
      </c>
      <c r="F345" s="1164">
        <v>1</v>
      </c>
      <c r="G345" s="1154">
        <v>188.82677959077085</v>
      </c>
      <c r="H345" s="1165">
        <f>G345*F345</f>
        <v>188.82677959077085</v>
      </c>
      <c r="I345" s="647"/>
      <c r="J345" s="1156">
        <f t="shared" ref="J345:J346" si="326">H345</f>
        <v>188.82677959077085</v>
      </c>
      <c r="K345" s="647"/>
      <c r="L345" s="1157">
        <f t="shared" si="312"/>
        <v>30</v>
      </c>
      <c r="M345" s="1158">
        <f t="shared" si="307"/>
        <v>30</v>
      </c>
      <c r="N345" s="1159">
        <f t="shared" si="308"/>
        <v>2265.92135508925</v>
      </c>
      <c r="O345" s="647"/>
      <c r="P345" s="1160">
        <f t="shared" si="309"/>
        <v>5664.8033877231255</v>
      </c>
      <c r="Q345" s="1166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34.5" customHeight="1">
      <c r="A346" s="1132" t="s">
        <v>325</v>
      </c>
      <c r="B346" s="1167" t="str">
        <f t="shared" si="325"/>
        <v>URUGUAIANA__URUG</v>
      </c>
      <c r="C346" s="1168" t="s">
        <v>1152</v>
      </c>
      <c r="D346" s="1169">
        <v>100</v>
      </c>
      <c r="E346" s="661">
        <v>1</v>
      </c>
      <c r="F346" s="1170">
        <v>1</v>
      </c>
      <c r="G346" s="1171">
        <v>217.37</v>
      </c>
      <c r="H346" s="1172">
        <f t="shared" ref="H346:H347" si="327">ROUND(G346*F346,2)</f>
        <v>217.37</v>
      </c>
      <c r="I346" s="1173">
        <f>SUMIF(E344:E346, "&gt;="&amp;1, H344:H346)</f>
        <v>7361.6967795907703</v>
      </c>
      <c r="J346" s="1174">
        <f t="shared" si="326"/>
        <v>217.37</v>
      </c>
      <c r="K346" s="1173">
        <f>J344+J345+J346</f>
        <v>7361.6967795907703</v>
      </c>
      <c r="L346" s="1175">
        <f t="shared" si="312"/>
        <v>30</v>
      </c>
      <c r="M346" s="1176">
        <f t="shared" si="307"/>
        <v>30</v>
      </c>
      <c r="N346" s="1177">
        <f t="shared" si="308"/>
        <v>2608.44</v>
      </c>
      <c r="O346" s="1173">
        <f>IF(J344&gt;0, (N344+N345+N346)*1, 0)</f>
        <v>88340.361355089248</v>
      </c>
      <c r="P346" s="1178">
        <f t="shared" si="309"/>
        <v>6521.1</v>
      </c>
      <c r="Q346" s="1179">
        <f>IF(M344&gt;0, (P344+P345+P346)*1, 0)</f>
        <v>220850.90338772314</v>
      </c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34.5" customHeight="1" outlineLevel="1">
      <c r="A347" s="1132" t="s">
        <v>1133</v>
      </c>
      <c r="B347" s="1149" t="str">
        <f>B344</f>
        <v>URUGUAIANA__URUG</v>
      </c>
      <c r="C347" s="1180" t="s">
        <v>9</v>
      </c>
      <c r="D347" s="1163">
        <v>200</v>
      </c>
      <c r="E347" s="1182">
        <v>1</v>
      </c>
      <c r="F347" s="1164">
        <v>1</v>
      </c>
      <c r="G347" s="1154">
        <v>6226.12</v>
      </c>
      <c r="H347" s="1184">
        <f t="shared" si="327"/>
        <v>6226.12</v>
      </c>
      <c r="I347" s="659"/>
      <c r="J347" s="1156">
        <f>H347*E347</f>
        <v>6226.12</v>
      </c>
      <c r="K347" s="659"/>
      <c r="L347" s="1157">
        <f t="shared" si="312"/>
        <v>30</v>
      </c>
      <c r="M347" s="1158">
        <f t="shared" si="307"/>
        <v>30</v>
      </c>
      <c r="N347" s="1159">
        <f t="shared" si="308"/>
        <v>74713.440000000002</v>
      </c>
      <c r="O347" s="659"/>
      <c r="P347" s="1160">
        <f t="shared" si="309"/>
        <v>186783.6</v>
      </c>
      <c r="Q347" s="1161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34.5" customHeight="1" outlineLevel="1">
      <c r="A348" s="1132" t="s">
        <v>1133</v>
      </c>
      <c r="B348" s="1149" t="str">
        <f t="shared" ref="B348:B350" si="328">B347</f>
        <v>URUGUAIANA__URUG</v>
      </c>
      <c r="C348" s="1185" t="s">
        <v>1153</v>
      </c>
      <c r="D348" s="1163">
        <v>200</v>
      </c>
      <c r="E348" s="1182">
        <v>1</v>
      </c>
      <c r="F348" s="1164">
        <v>1</v>
      </c>
      <c r="G348" s="1154">
        <v>470.5750842302084</v>
      </c>
      <c r="H348" s="1165">
        <f>G348*F348</f>
        <v>470.5750842302084</v>
      </c>
      <c r="I348" s="647"/>
      <c r="J348" s="1156">
        <f t="shared" ref="J348:J349" si="329">H348</f>
        <v>470.5750842302084</v>
      </c>
      <c r="K348" s="647"/>
      <c r="L348" s="1157">
        <f t="shared" si="312"/>
        <v>30</v>
      </c>
      <c r="M348" s="1158">
        <f t="shared" si="307"/>
        <v>30</v>
      </c>
      <c r="N348" s="1159">
        <f t="shared" si="308"/>
        <v>5646.9010107625008</v>
      </c>
      <c r="O348" s="647"/>
      <c r="P348" s="1160">
        <f t="shared" si="309"/>
        <v>14117.252526906252</v>
      </c>
      <c r="Q348" s="1166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34.5" customHeight="1" outlineLevel="1">
      <c r="A349" s="1132" t="s">
        <v>1133</v>
      </c>
      <c r="B349" s="1167" t="str">
        <f t="shared" si="328"/>
        <v>URUGUAIANA__URUG</v>
      </c>
      <c r="C349" s="1168" t="s">
        <v>1154</v>
      </c>
      <c r="D349" s="1169">
        <v>200</v>
      </c>
      <c r="E349" s="661">
        <v>1</v>
      </c>
      <c r="F349" s="1170">
        <v>1</v>
      </c>
      <c r="G349" s="1171">
        <v>144.91</v>
      </c>
      <c r="H349" s="1155">
        <f>ROUND(G349*F349,2)</f>
        <v>144.91</v>
      </c>
      <c r="I349" s="1173">
        <f>SUMIF(E347:E349, "&gt;="&amp;1, H347:H349)</f>
        <v>6841.6050842302084</v>
      </c>
      <c r="J349" s="1174">
        <f t="shared" si="329"/>
        <v>144.91</v>
      </c>
      <c r="K349" s="1173">
        <f>J347+J348+J349</f>
        <v>6841.6050842302084</v>
      </c>
      <c r="L349" s="1175">
        <f t="shared" si="312"/>
        <v>30</v>
      </c>
      <c r="M349" s="1176">
        <f t="shared" si="307"/>
        <v>30</v>
      </c>
      <c r="N349" s="1177">
        <f t="shared" si="308"/>
        <v>1738.92</v>
      </c>
      <c r="O349" s="1173">
        <f>IF(J347&gt;0, (N347+N348+N349)*1, 0)</f>
        <v>82099.261010762508</v>
      </c>
      <c r="P349" s="1178">
        <f t="shared" si="309"/>
        <v>4347.3</v>
      </c>
      <c r="Q349" s="1179">
        <f>IF(M347&gt;0, (P347+P348+P349)*1, 0)</f>
        <v>205248.15252690625</v>
      </c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35.25" customHeight="1">
      <c r="A350" s="1186" t="s">
        <v>1155</v>
      </c>
      <c r="B350" s="1203" t="str">
        <f t="shared" si="328"/>
        <v>URUGUAIANA__URUG</v>
      </c>
      <c r="C350" s="1203"/>
      <c r="D350" s="1199"/>
      <c r="E350" s="1189"/>
      <c r="F350" s="1200"/>
      <c r="G350" s="1204"/>
      <c r="H350" s="1192"/>
      <c r="I350" s="1193">
        <f t="shared" ref="I350:K350" si="330">SUM(I329:I349)</f>
        <v>38386.738314644412</v>
      </c>
      <c r="J350" s="1193">
        <f t="shared" si="330"/>
        <v>66401.948314644425</v>
      </c>
      <c r="K350" s="1193">
        <f t="shared" si="330"/>
        <v>66401.948314644411</v>
      </c>
      <c r="L350" s="1193"/>
      <c r="M350" s="1193"/>
      <c r="N350" s="1193">
        <f t="shared" ref="N350:Q350" si="331">SUM(N329:N349)</f>
        <v>796823.37977573299</v>
      </c>
      <c r="O350" s="1193">
        <f t="shared" si="331"/>
        <v>796823.37977573287</v>
      </c>
      <c r="P350" s="1193">
        <f t="shared" si="331"/>
        <v>1992058.4494393328</v>
      </c>
      <c r="Q350" s="1193">
        <f t="shared" si="331"/>
        <v>1992058.4494393324</v>
      </c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1132" t="s">
        <v>1133</v>
      </c>
      <c r="B351" s="582" t="s">
        <v>1133</v>
      </c>
      <c r="C351" s="582" t="s">
        <v>1133</v>
      </c>
      <c r="D351" s="582" t="s">
        <v>1133</v>
      </c>
      <c r="E351" s="582"/>
      <c r="F351" s="582"/>
      <c r="G351" s="1205"/>
      <c r="H351" s="1206"/>
      <c r="I351" s="594" t="s">
        <v>1133</v>
      </c>
      <c r="J351" s="1198" t="s">
        <v>1133</v>
      </c>
      <c r="K351" s="594"/>
      <c r="L351" s="13" t="s">
        <v>1133</v>
      </c>
      <c r="M351" s="13" t="s">
        <v>1133</v>
      </c>
      <c r="N351" s="592" t="s">
        <v>1133</v>
      </c>
      <c r="O351" s="594" t="s">
        <v>1133</v>
      </c>
      <c r="P351" s="13" t="s">
        <v>1133</v>
      </c>
      <c r="Q351" s="1198" t="s">
        <v>1133</v>
      </c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37.5" customHeight="1">
      <c r="A352" s="1207" t="s">
        <v>1155</v>
      </c>
      <c r="B352" s="1208"/>
      <c r="C352" s="1209" t="s">
        <v>1156</v>
      </c>
      <c r="D352" s="1210"/>
      <c r="E352" s="1211"/>
      <c r="F352" s="1212"/>
      <c r="G352" s="1212"/>
      <c r="H352" s="1212"/>
      <c r="I352" s="1212">
        <f>SUMIF($A$7:$A$350,"X",$I$7:$I$350 )</f>
        <v>329297.71867914021</v>
      </c>
      <c r="J352" s="1212">
        <f>SUMIF($A$7:$A$350,"X",$J$7:$J$350 )</f>
        <v>609124.77867914014</v>
      </c>
      <c r="K352" s="1212">
        <f>SUMIF($A$7:$A$350,"X",$K$7:$K$350 )</f>
        <v>609124.77867914026</v>
      </c>
      <c r="L352" s="1212"/>
      <c r="M352" s="1212"/>
      <c r="N352" s="1212">
        <f>SUMIF($A$7:$A$350,"X",$N$7:$N$350 )</f>
        <v>7309497.3441496817</v>
      </c>
      <c r="O352" s="1212">
        <f>SUMIF($A$7:$A$350,"X",$O$7:$O$350 )</f>
        <v>7309497.3441496817</v>
      </c>
      <c r="P352" s="1212">
        <f>SUMIF($A$7:$A$350,"X",$P$7:$P$350 )</f>
        <v>18273743.360374205</v>
      </c>
      <c r="Q352" s="1212">
        <f>SUMIF($A$7:$A$350,"X",$Q$7:$Q$350 )</f>
        <v>18273743.360374205</v>
      </c>
      <c r="R352" s="2"/>
      <c r="S352" s="1213"/>
      <c r="T352" s="1213"/>
      <c r="U352" s="1213"/>
      <c r="V352" s="1213"/>
      <c r="W352" s="1213"/>
      <c r="X352" s="1213"/>
      <c r="Y352" s="1213"/>
      <c r="Z352" s="1213"/>
      <c r="AA352" s="1213"/>
    </row>
    <row r="353" spans="1:27" ht="43.5" customHeight="1">
      <c r="A353" s="1132" t="s">
        <v>1133</v>
      </c>
      <c r="E353" s="1214"/>
      <c r="F353" s="1215"/>
      <c r="G353" s="1216"/>
      <c r="H353" s="1217"/>
      <c r="I353" s="1218"/>
      <c r="J353" s="1219"/>
      <c r="K353" s="1218"/>
      <c r="L353" s="1215"/>
      <c r="M353" s="1215"/>
      <c r="N353" s="1220"/>
      <c r="O353" s="1218"/>
      <c r="P353" s="1215"/>
      <c r="Q353" s="1219">
        <f>Q352-Estimativa_Horas_Diarias!E19</f>
        <v>18273743.360374205</v>
      </c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37.5" customHeight="1">
      <c r="A354" s="1132"/>
      <c r="C354" s="1221" t="s">
        <v>1157</v>
      </c>
      <c r="D354" s="1222" t="s">
        <v>1158</v>
      </c>
      <c r="F354" s="1223" t="s">
        <v>1159</v>
      </c>
      <c r="H354" s="1223" t="s">
        <v>1160</v>
      </c>
      <c r="J354" s="1224"/>
      <c r="K354" s="1224"/>
      <c r="L354" s="1224"/>
      <c r="M354" s="1224"/>
      <c r="N354" s="1224"/>
      <c r="O354" s="1224"/>
      <c r="P354" s="1224"/>
      <c r="Q354" s="1224"/>
      <c r="R354" s="1224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37.5" customHeight="1">
      <c r="A355" s="1132" t="s">
        <v>1133</v>
      </c>
      <c r="C355" s="1225" t="e">
        <f t="array" aca="1" ref="C355:C376" ca="1">_xludf.UNIQUE(C7:C349)</f>
        <v>#NAME?</v>
      </c>
      <c r="D355" s="1226">
        <f t="shared" ref="D355:D375" ca="1" si="332">SUMIF($C$7:$C$349,C355,$J$7:$J$349 )</f>
        <v>0</v>
      </c>
      <c r="E355" s="1224"/>
      <c r="F355" s="1226">
        <f t="shared" ref="F355:F375" ca="1" si="333">SUMIF($C$7:$C$349,C355,$N$7:$N$349 )</f>
        <v>0</v>
      </c>
      <c r="G355" s="1224"/>
      <c r="H355" s="1226">
        <f t="shared" ref="H355:H375" ca="1" si="334">SUMIF($C$7:$C$349,C355,$P$7:$P$349 )</f>
        <v>0</v>
      </c>
      <c r="I355" s="1224"/>
      <c r="J355" s="1224"/>
      <c r="K355" s="1224"/>
      <c r="L355" s="1224"/>
      <c r="M355" s="1224"/>
      <c r="N355" s="1224"/>
      <c r="O355" s="1224"/>
      <c r="P355" s="1224"/>
      <c r="Q355" s="1224"/>
      <c r="R355" s="1224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37.5" customHeight="1">
      <c r="A356" s="1132" t="s">
        <v>1133</v>
      </c>
      <c r="C356" s="1225" t="e">
        <f ca="1"/>
        <v>#NAME?</v>
      </c>
      <c r="D356" s="1226">
        <f t="shared" ca="1" si="332"/>
        <v>0</v>
      </c>
      <c r="E356" s="1224"/>
      <c r="F356" s="1226">
        <f t="shared" ca="1" si="333"/>
        <v>0</v>
      </c>
      <c r="G356" s="1224"/>
      <c r="H356" s="1226">
        <f t="shared" ca="1" si="334"/>
        <v>0</v>
      </c>
      <c r="I356" s="1224"/>
      <c r="J356" s="1224"/>
      <c r="K356" s="1224"/>
      <c r="L356" s="1224"/>
      <c r="M356" s="1224"/>
      <c r="N356" s="1224"/>
      <c r="O356" s="1224"/>
      <c r="P356" s="1224"/>
      <c r="Q356" s="1224"/>
      <c r="R356" s="1224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37.5" customHeight="1">
      <c r="A357" s="1132"/>
      <c r="C357" s="1227" t="e">
        <f ca="1"/>
        <v>#NAME?</v>
      </c>
      <c r="D357" s="1228">
        <f t="shared" ca="1" si="332"/>
        <v>0</v>
      </c>
      <c r="E357" s="1229">
        <f ca="1">SUM(D355:D357)</f>
        <v>0</v>
      </c>
      <c r="F357" s="1228">
        <f t="shared" ca="1" si="333"/>
        <v>0</v>
      </c>
      <c r="G357" s="1229">
        <f ca="1">SUM(F355:F357)</f>
        <v>0</v>
      </c>
      <c r="H357" s="1228">
        <f t="shared" ca="1" si="334"/>
        <v>0</v>
      </c>
      <c r="I357" s="1229">
        <f ca="1">SUM(H355:H357)</f>
        <v>0</v>
      </c>
      <c r="J357" s="1224"/>
      <c r="K357" s="1224"/>
      <c r="L357" s="1224"/>
      <c r="M357" s="1224"/>
      <c r="N357" s="1224"/>
      <c r="O357" s="1224"/>
      <c r="P357" s="1224"/>
      <c r="Q357" s="1224"/>
      <c r="R357" s="1224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37.5" customHeight="1">
      <c r="A358" s="1230" t="s">
        <v>1133</v>
      </c>
      <c r="B358" s="1231"/>
      <c r="C358" s="1232" t="e">
        <f ca="1"/>
        <v>#NAME?</v>
      </c>
      <c r="D358" s="1233">
        <f t="shared" ca="1" si="332"/>
        <v>0</v>
      </c>
      <c r="E358" s="1224"/>
      <c r="F358" s="1233">
        <f t="shared" ca="1" si="333"/>
        <v>0</v>
      </c>
      <c r="G358" s="1224"/>
      <c r="H358" s="1233">
        <f t="shared" ca="1" si="334"/>
        <v>0</v>
      </c>
      <c r="I358" s="1224"/>
      <c r="J358" s="1224"/>
      <c r="K358" s="1224"/>
      <c r="L358" s="1224"/>
      <c r="M358" s="1224"/>
      <c r="N358" s="1224"/>
      <c r="O358" s="1224"/>
      <c r="P358" s="1224"/>
      <c r="Q358" s="1224"/>
      <c r="R358" s="1224"/>
      <c r="S358" s="1234"/>
      <c r="T358" s="1234"/>
      <c r="U358" s="1234"/>
      <c r="V358" s="1234"/>
      <c r="W358" s="1234"/>
      <c r="X358" s="1234"/>
      <c r="Y358" s="1234"/>
      <c r="Z358" s="1234"/>
      <c r="AA358" s="1234"/>
    </row>
    <row r="359" spans="1:27" ht="37.5" customHeight="1">
      <c r="A359" s="1230" t="s">
        <v>1133</v>
      </c>
      <c r="B359" s="1231"/>
      <c r="C359" s="1232" t="e">
        <f ca="1"/>
        <v>#NAME?</v>
      </c>
      <c r="D359" s="1233">
        <f t="shared" ca="1" si="332"/>
        <v>0</v>
      </c>
      <c r="E359" s="1224"/>
      <c r="F359" s="1233">
        <f t="shared" ca="1" si="333"/>
        <v>0</v>
      </c>
      <c r="G359" s="1224"/>
      <c r="H359" s="1233">
        <f t="shared" ca="1" si="334"/>
        <v>0</v>
      </c>
      <c r="I359" s="1224"/>
      <c r="J359" s="1224"/>
      <c r="K359" s="1224"/>
      <c r="L359" s="1224"/>
      <c r="M359" s="1224"/>
      <c r="N359" s="1224"/>
      <c r="O359" s="1224"/>
      <c r="P359" s="1224"/>
      <c r="Q359" s="1224"/>
      <c r="R359" s="1224"/>
      <c r="S359" s="1234"/>
      <c r="T359" s="1234"/>
      <c r="U359" s="1234"/>
      <c r="V359" s="1234"/>
      <c r="W359" s="1234"/>
      <c r="X359" s="1234"/>
      <c r="Y359" s="1234"/>
      <c r="Z359" s="1234"/>
      <c r="AA359" s="1234"/>
    </row>
    <row r="360" spans="1:27" ht="37.5" customHeight="1">
      <c r="A360" s="1230" t="s">
        <v>1133</v>
      </c>
      <c r="B360" s="1231"/>
      <c r="C360" s="1235" t="e">
        <f ca="1"/>
        <v>#NAME?</v>
      </c>
      <c r="D360" s="1236">
        <f t="shared" ca="1" si="332"/>
        <v>0</v>
      </c>
      <c r="E360" s="1229">
        <f ca="1">SUM(D358:D360)</f>
        <v>0</v>
      </c>
      <c r="F360" s="1236">
        <f t="shared" ca="1" si="333"/>
        <v>0</v>
      </c>
      <c r="G360" s="1229">
        <f ca="1">SUM(F358:F360)</f>
        <v>0</v>
      </c>
      <c r="H360" s="1236">
        <f t="shared" ca="1" si="334"/>
        <v>0</v>
      </c>
      <c r="I360" s="1229">
        <f ca="1">SUM(H358:H360)</f>
        <v>0</v>
      </c>
      <c r="J360" s="1224"/>
      <c r="K360" s="1224"/>
      <c r="L360" s="1224"/>
      <c r="M360" s="1224"/>
      <c r="N360" s="1224"/>
      <c r="O360" s="1224"/>
      <c r="P360" s="1224"/>
      <c r="Q360" s="1224"/>
      <c r="R360" s="1224"/>
      <c r="S360" s="1234"/>
      <c r="T360" s="1234"/>
      <c r="U360" s="1234"/>
      <c r="V360" s="1234"/>
      <c r="W360" s="1234"/>
      <c r="X360" s="1234"/>
      <c r="Y360" s="1234"/>
      <c r="Z360" s="1234"/>
      <c r="AA360" s="1234"/>
    </row>
    <row r="361" spans="1:27" ht="37.5" customHeight="1">
      <c r="A361" s="1132" t="s">
        <v>1133</v>
      </c>
      <c r="C361" s="1225" t="e">
        <f ca="1"/>
        <v>#NAME?</v>
      </c>
      <c r="D361" s="1226">
        <f t="shared" ca="1" si="332"/>
        <v>0</v>
      </c>
      <c r="E361" s="1224"/>
      <c r="F361" s="1226">
        <f t="shared" ca="1" si="333"/>
        <v>0</v>
      </c>
      <c r="G361" s="1224"/>
      <c r="H361" s="1226">
        <f t="shared" ca="1" si="334"/>
        <v>0</v>
      </c>
      <c r="I361" s="1224"/>
      <c r="J361" s="1224"/>
      <c r="K361" s="1224"/>
      <c r="L361" s="1224"/>
      <c r="M361" s="1224"/>
      <c r="N361" s="1224"/>
      <c r="O361" s="1224"/>
      <c r="P361" s="1224"/>
      <c r="Q361" s="1224"/>
      <c r="R361" s="1224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37.5" customHeight="1">
      <c r="A362" s="1132" t="s">
        <v>1133</v>
      </c>
      <c r="C362" s="1225" t="e">
        <f ca="1"/>
        <v>#NAME?</v>
      </c>
      <c r="D362" s="1226">
        <f t="shared" ca="1" si="332"/>
        <v>0</v>
      </c>
      <c r="E362" s="1224"/>
      <c r="F362" s="1226">
        <f t="shared" ca="1" si="333"/>
        <v>0</v>
      </c>
      <c r="G362" s="1224"/>
      <c r="H362" s="1226">
        <f t="shared" ca="1" si="334"/>
        <v>0</v>
      </c>
      <c r="I362" s="1224"/>
      <c r="J362" s="1224"/>
      <c r="K362" s="1224"/>
      <c r="L362" s="1224"/>
      <c r="M362" s="1224"/>
      <c r="N362" s="1224"/>
      <c r="O362" s="1224"/>
      <c r="P362" s="1224"/>
      <c r="Q362" s="1224"/>
      <c r="R362" s="1224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37.5" customHeight="1">
      <c r="A363" s="1132" t="s">
        <v>1133</v>
      </c>
      <c r="C363" s="1227" t="e">
        <f ca="1"/>
        <v>#NAME?</v>
      </c>
      <c r="D363" s="1228">
        <f t="shared" ca="1" si="332"/>
        <v>0</v>
      </c>
      <c r="E363" s="1229">
        <f ca="1">SUM(D361:D363)</f>
        <v>0</v>
      </c>
      <c r="F363" s="1228">
        <f t="shared" ca="1" si="333"/>
        <v>0</v>
      </c>
      <c r="G363" s="1229">
        <f ca="1">SUM(F361:F363)</f>
        <v>0</v>
      </c>
      <c r="H363" s="1228">
        <f t="shared" ca="1" si="334"/>
        <v>0</v>
      </c>
      <c r="I363" s="1229">
        <f ca="1">SUM(H361:H363)</f>
        <v>0</v>
      </c>
      <c r="J363" s="1224"/>
      <c r="K363" s="1224"/>
      <c r="L363" s="1224"/>
      <c r="M363" s="1224"/>
      <c r="N363" s="1224"/>
      <c r="O363" s="1224"/>
      <c r="P363" s="1224"/>
      <c r="Q363" s="1224"/>
      <c r="R363" s="1224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37.5" customHeight="1">
      <c r="A364" s="1230" t="s">
        <v>1133</v>
      </c>
      <c r="B364" s="1231"/>
      <c r="C364" s="1232" t="e">
        <f ca="1"/>
        <v>#NAME?</v>
      </c>
      <c r="D364" s="1233">
        <f t="shared" ca="1" si="332"/>
        <v>0</v>
      </c>
      <c r="E364" s="1224"/>
      <c r="F364" s="1233">
        <f t="shared" ca="1" si="333"/>
        <v>0</v>
      </c>
      <c r="G364" s="1224"/>
      <c r="H364" s="1233">
        <f t="shared" ca="1" si="334"/>
        <v>0</v>
      </c>
      <c r="I364" s="1224"/>
      <c r="J364" s="1224"/>
      <c r="K364" s="1224"/>
      <c r="L364" s="1224"/>
      <c r="M364" s="1224"/>
      <c r="N364" s="1224"/>
      <c r="O364" s="1224"/>
      <c r="P364" s="1224"/>
      <c r="Q364" s="1224"/>
      <c r="R364" s="1224"/>
      <c r="S364" s="1234"/>
      <c r="T364" s="1234"/>
      <c r="U364" s="1234"/>
      <c r="V364" s="1234"/>
      <c r="W364" s="1234"/>
      <c r="X364" s="1234"/>
      <c r="Y364" s="1234"/>
      <c r="Z364" s="1234"/>
      <c r="AA364" s="1234"/>
    </row>
    <row r="365" spans="1:27" ht="37.5" customHeight="1">
      <c r="A365" s="1230" t="s">
        <v>1133</v>
      </c>
      <c r="B365" s="1231"/>
      <c r="C365" s="1232" t="e">
        <f ca="1"/>
        <v>#NAME?</v>
      </c>
      <c r="D365" s="1233">
        <f t="shared" ca="1" si="332"/>
        <v>0</v>
      </c>
      <c r="E365" s="1224"/>
      <c r="F365" s="1233">
        <f t="shared" ca="1" si="333"/>
        <v>0</v>
      </c>
      <c r="G365" s="1224"/>
      <c r="H365" s="1233">
        <f t="shared" ca="1" si="334"/>
        <v>0</v>
      </c>
      <c r="I365" s="1224"/>
      <c r="J365" s="1224"/>
      <c r="K365" s="1224"/>
      <c r="L365" s="1224"/>
      <c r="M365" s="1224"/>
      <c r="N365" s="1224"/>
      <c r="O365" s="1224"/>
      <c r="P365" s="1224"/>
      <c r="Q365" s="1224"/>
      <c r="R365" s="1224"/>
      <c r="S365" s="1234"/>
      <c r="T365" s="1234"/>
      <c r="U365" s="1234"/>
      <c r="V365" s="1234"/>
      <c r="W365" s="1234"/>
      <c r="X365" s="1234"/>
      <c r="Y365" s="1234"/>
      <c r="Z365" s="1234"/>
      <c r="AA365" s="1234"/>
    </row>
    <row r="366" spans="1:27" ht="37.5" customHeight="1">
      <c r="A366" s="1230" t="s">
        <v>1133</v>
      </c>
      <c r="B366" s="1231"/>
      <c r="C366" s="1235" t="e">
        <f ca="1"/>
        <v>#NAME?</v>
      </c>
      <c r="D366" s="1236">
        <f t="shared" ca="1" si="332"/>
        <v>0</v>
      </c>
      <c r="E366" s="1229">
        <f ca="1">SUM(D364:D366)</f>
        <v>0</v>
      </c>
      <c r="F366" s="1236">
        <f t="shared" ca="1" si="333"/>
        <v>0</v>
      </c>
      <c r="G366" s="1229">
        <f ca="1">SUM(F364:F366)</f>
        <v>0</v>
      </c>
      <c r="H366" s="1236">
        <f t="shared" ca="1" si="334"/>
        <v>0</v>
      </c>
      <c r="I366" s="1229">
        <f ca="1">SUM(H364:H366)</f>
        <v>0</v>
      </c>
      <c r="J366" s="1224"/>
      <c r="K366" s="1224"/>
      <c r="L366" s="1224"/>
      <c r="M366" s="1224"/>
      <c r="N366" s="1224"/>
      <c r="O366" s="1224"/>
      <c r="P366" s="1224"/>
      <c r="Q366" s="1224"/>
      <c r="R366" s="1224"/>
      <c r="S366" s="1234"/>
      <c r="T366" s="1234"/>
      <c r="U366" s="1234"/>
      <c r="V366" s="1234"/>
      <c r="W366" s="1234"/>
      <c r="X366" s="1234"/>
      <c r="Y366" s="1234"/>
      <c r="Z366" s="1234"/>
      <c r="AA366" s="1234"/>
    </row>
    <row r="367" spans="1:27" ht="37.5" customHeight="1">
      <c r="A367" s="1132" t="s">
        <v>1133</v>
      </c>
      <c r="C367" s="1225" t="e">
        <f ca="1"/>
        <v>#NAME?</v>
      </c>
      <c r="D367" s="1226">
        <f t="shared" ca="1" si="332"/>
        <v>0</v>
      </c>
      <c r="E367" s="1224"/>
      <c r="F367" s="1226">
        <f t="shared" ca="1" si="333"/>
        <v>0</v>
      </c>
      <c r="G367" s="1224"/>
      <c r="H367" s="1226">
        <f t="shared" ca="1" si="334"/>
        <v>0</v>
      </c>
      <c r="I367" s="1224"/>
      <c r="J367" s="1224"/>
      <c r="K367" s="1224"/>
      <c r="L367" s="1224"/>
      <c r="M367" s="1224"/>
      <c r="N367" s="1224"/>
      <c r="O367" s="1224"/>
      <c r="P367" s="1224"/>
      <c r="Q367" s="1224"/>
      <c r="R367" s="1224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37.5" customHeight="1">
      <c r="A368" s="1132" t="s">
        <v>1133</v>
      </c>
      <c r="C368" s="1225" t="e">
        <f ca="1"/>
        <v>#NAME?</v>
      </c>
      <c r="D368" s="1226">
        <f t="shared" ca="1" si="332"/>
        <v>0</v>
      </c>
      <c r="E368" s="1224"/>
      <c r="F368" s="1226">
        <f t="shared" ca="1" si="333"/>
        <v>0</v>
      </c>
      <c r="G368" s="1224"/>
      <c r="H368" s="1226">
        <f t="shared" ca="1" si="334"/>
        <v>0</v>
      </c>
      <c r="I368" s="1224"/>
      <c r="J368" s="1224"/>
      <c r="K368" s="1224"/>
      <c r="L368" s="1224"/>
      <c r="M368" s="1224"/>
      <c r="N368" s="1224"/>
      <c r="O368" s="1224"/>
      <c r="P368" s="1224"/>
      <c r="Q368" s="1224"/>
      <c r="R368" s="1224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37.5" customHeight="1">
      <c r="A369" s="1132" t="s">
        <v>1133</v>
      </c>
      <c r="C369" s="1227" t="e">
        <f ca="1"/>
        <v>#NAME?</v>
      </c>
      <c r="D369" s="1228">
        <f t="shared" ca="1" si="332"/>
        <v>0</v>
      </c>
      <c r="E369" s="1229">
        <f ca="1">SUM(D367:D369)</f>
        <v>0</v>
      </c>
      <c r="F369" s="1228">
        <f t="shared" ca="1" si="333"/>
        <v>0</v>
      </c>
      <c r="G369" s="1229">
        <f ca="1">SUM(F367:F369)</f>
        <v>0</v>
      </c>
      <c r="H369" s="1228">
        <f t="shared" ca="1" si="334"/>
        <v>0</v>
      </c>
      <c r="I369" s="1229">
        <f ca="1">SUM(H367:H369)</f>
        <v>0</v>
      </c>
      <c r="J369" s="1224"/>
      <c r="K369" s="1224"/>
      <c r="L369" s="1224"/>
      <c r="M369" s="1224"/>
      <c r="N369" s="1224"/>
      <c r="O369" s="1224"/>
      <c r="P369" s="1224"/>
      <c r="Q369" s="1224"/>
      <c r="R369" s="1224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37.5" customHeight="1">
      <c r="A370" s="1132" t="s">
        <v>1133</v>
      </c>
      <c r="B370" s="1231"/>
      <c r="C370" s="1232" t="e">
        <f ca="1"/>
        <v>#NAME?</v>
      </c>
      <c r="D370" s="1233">
        <f t="shared" ca="1" si="332"/>
        <v>0</v>
      </c>
      <c r="E370" s="1224"/>
      <c r="F370" s="1233">
        <f t="shared" ca="1" si="333"/>
        <v>0</v>
      </c>
      <c r="G370" s="1224"/>
      <c r="H370" s="1233">
        <f t="shared" ca="1" si="334"/>
        <v>0</v>
      </c>
      <c r="I370" s="1224"/>
      <c r="J370" s="1224"/>
      <c r="K370" s="1224"/>
      <c r="L370" s="1224"/>
      <c r="M370" s="1224"/>
      <c r="N370" s="1224"/>
      <c r="O370" s="1224"/>
      <c r="P370" s="1224"/>
      <c r="Q370" s="1224"/>
      <c r="R370" s="1224"/>
      <c r="S370" s="1234"/>
      <c r="T370" s="1234"/>
      <c r="U370" s="1234"/>
      <c r="V370" s="1234"/>
      <c r="W370" s="1234"/>
      <c r="X370" s="1234"/>
      <c r="Y370" s="1234"/>
      <c r="Z370" s="1234"/>
      <c r="AA370" s="1234"/>
    </row>
    <row r="371" spans="1:27" ht="37.5" customHeight="1">
      <c r="A371" s="1132" t="s">
        <v>1133</v>
      </c>
      <c r="B371" s="1231"/>
      <c r="C371" s="1232" t="e">
        <f ca="1"/>
        <v>#NAME?</v>
      </c>
      <c r="D371" s="1233">
        <f t="shared" ca="1" si="332"/>
        <v>0</v>
      </c>
      <c r="E371" s="1224"/>
      <c r="F371" s="1233">
        <f t="shared" ca="1" si="333"/>
        <v>0</v>
      </c>
      <c r="G371" s="1224"/>
      <c r="H371" s="1233">
        <f t="shared" ca="1" si="334"/>
        <v>0</v>
      </c>
      <c r="I371" s="1224"/>
      <c r="J371" s="1224"/>
      <c r="K371" s="1224"/>
      <c r="L371" s="1224"/>
      <c r="M371" s="1224"/>
      <c r="N371" s="1224"/>
      <c r="O371" s="1224"/>
      <c r="P371" s="1224"/>
      <c r="Q371" s="1224"/>
      <c r="R371" s="1224"/>
      <c r="S371" s="1234"/>
      <c r="T371" s="1234"/>
      <c r="U371" s="1234"/>
      <c r="V371" s="1234"/>
      <c r="W371" s="1234"/>
      <c r="X371" s="1234"/>
      <c r="Y371" s="1234"/>
      <c r="Z371" s="1234"/>
      <c r="AA371" s="1234"/>
    </row>
    <row r="372" spans="1:27" ht="37.5" customHeight="1">
      <c r="A372" s="1132" t="s">
        <v>1133</v>
      </c>
      <c r="B372" s="1231"/>
      <c r="C372" s="1235" t="e">
        <f ca="1"/>
        <v>#NAME?</v>
      </c>
      <c r="D372" s="1236">
        <f t="shared" ca="1" si="332"/>
        <v>0</v>
      </c>
      <c r="E372" s="1229">
        <f ca="1">SUM(D370:D372)</f>
        <v>0</v>
      </c>
      <c r="F372" s="1236">
        <f t="shared" ca="1" si="333"/>
        <v>0</v>
      </c>
      <c r="G372" s="1229">
        <f ca="1">SUM(F370:F372)</f>
        <v>0</v>
      </c>
      <c r="H372" s="1236">
        <f t="shared" ca="1" si="334"/>
        <v>0</v>
      </c>
      <c r="I372" s="1229">
        <f ca="1">SUM(H370:H372)</f>
        <v>0</v>
      </c>
      <c r="J372" s="1224"/>
      <c r="K372" s="1224"/>
      <c r="L372" s="1224"/>
      <c r="M372" s="1224"/>
      <c r="N372" s="1224"/>
      <c r="O372" s="1224"/>
      <c r="P372" s="1224"/>
      <c r="Q372" s="1224"/>
      <c r="R372" s="1224"/>
      <c r="S372" s="1234"/>
      <c r="T372" s="1234"/>
      <c r="U372" s="1234"/>
      <c r="V372" s="1234"/>
      <c r="W372" s="1234"/>
      <c r="X372" s="1234"/>
      <c r="Y372" s="1234"/>
      <c r="Z372" s="1234"/>
      <c r="AA372" s="1234"/>
    </row>
    <row r="373" spans="1:27" ht="37.5" customHeight="1">
      <c r="A373" s="1132" t="s">
        <v>1133</v>
      </c>
      <c r="C373" s="1225" t="e">
        <f ca="1"/>
        <v>#NAME?</v>
      </c>
      <c r="D373" s="1226">
        <f t="shared" ca="1" si="332"/>
        <v>0</v>
      </c>
      <c r="E373" s="1224"/>
      <c r="F373" s="1226">
        <f t="shared" ca="1" si="333"/>
        <v>0</v>
      </c>
      <c r="G373" s="1224"/>
      <c r="H373" s="1226">
        <f t="shared" ca="1" si="334"/>
        <v>0</v>
      </c>
      <c r="I373" s="1224"/>
      <c r="J373" s="1224"/>
      <c r="K373" s="1224"/>
      <c r="L373" s="1224"/>
      <c r="M373" s="1224"/>
      <c r="N373" s="1224"/>
      <c r="O373" s="1224"/>
      <c r="P373" s="1224"/>
      <c r="Q373" s="1224"/>
      <c r="R373" s="1224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37.5" customHeight="1">
      <c r="A374" s="1132" t="s">
        <v>1133</v>
      </c>
      <c r="C374" s="1225" t="e">
        <f ca="1"/>
        <v>#NAME?</v>
      </c>
      <c r="D374" s="1226">
        <f t="shared" ca="1" si="332"/>
        <v>0</v>
      </c>
      <c r="E374" s="1224"/>
      <c r="F374" s="1226">
        <f t="shared" ca="1" si="333"/>
        <v>0</v>
      </c>
      <c r="G374" s="1224"/>
      <c r="H374" s="1226">
        <f t="shared" ca="1" si="334"/>
        <v>0</v>
      </c>
      <c r="I374" s="1224"/>
      <c r="J374" s="1224"/>
      <c r="K374" s="1224"/>
      <c r="L374" s="1224"/>
      <c r="M374" s="1224"/>
      <c r="N374" s="1224"/>
      <c r="O374" s="1224"/>
      <c r="P374" s="1224"/>
      <c r="Q374" s="1224"/>
      <c r="R374" s="1224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37.5" customHeight="1">
      <c r="A375" s="1132" t="s">
        <v>1133</v>
      </c>
      <c r="B375" s="1237"/>
      <c r="C375" s="1227" t="e">
        <f ca="1"/>
        <v>#NAME?</v>
      </c>
      <c r="D375" s="1228">
        <f t="shared" ca="1" si="332"/>
        <v>0</v>
      </c>
      <c r="E375" s="1229">
        <f ca="1">SUM(D373:D375)</f>
        <v>0</v>
      </c>
      <c r="F375" s="1228">
        <f t="shared" ca="1" si="333"/>
        <v>0</v>
      </c>
      <c r="G375" s="1229">
        <f ca="1">SUM(F373:F375)</f>
        <v>0</v>
      </c>
      <c r="H375" s="1228">
        <f t="shared" ca="1" si="334"/>
        <v>0</v>
      </c>
      <c r="I375" s="1229">
        <f ca="1">SUM(H373:H375)</f>
        <v>0</v>
      </c>
      <c r="J375" s="1224"/>
      <c r="K375" s="1224"/>
      <c r="L375" s="1224"/>
      <c r="M375" s="1224"/>
      <c r="N375" s="1224"/>
      <c r="O375" s="1224"/>
      <c r="P375" s="1224"/>
      <c r="Q375" s="1224"/>
      <c r="R375" s="1224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32.25" customHeight="1">
      <c r="A376" s="1132" t="s">
        <v>1133</v>
      </c>
      <c r="C376" s="338" t="e">
        <f ca="1"/>
        <v>#NAME?</v>
      </c>
      <c r="D376" s="1238"/>
      <c r="F376" s="1239"/>
      <c r="G376" s="1240"/>
      <c r="I376" s="1241"/>
      <c r="J376" s="1224"/>
      <c r="K376" s="1224"/>
      <c r="L376" s="1224"/>
      <c r="M376" s="1224"/>
      <c r="N376" s="1224"/>
      <c r="O376" s="1224"/>
      <c r="P376" s="1224"/>
      <c r="Q376" s="1224"/>
      <c r="R376" s="1224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32.25" customHeight="1">
      <c r="A377" s="1132" t="s">
        <v>1133</v>
      </c>
      <c r="D377" s="1242">
        <f ca="1">SUM(D355:D375)</f>
        <v>0</v>
      </c>
      <c r="F377" s="1242">
        <f ca="1">SUM(F355:F375)</f>
        <v>0</v>
      </c>
      <c r="H377" s="1242">
        <f ca="1">SUM(H355:H375)</f>
        <v>0</v>
      </c>
      <c r="J377" s="1224"/>
      <c r="K377" s="1224"/>
      <c r="L377" s="1224"/>
      <c r="M377" s="1224"/>
      <c r="N377" s="1224"/>
      <c r="O377" s="1224"/>
      <c r="P377" s="1224"/>
      <c r="Q377" s="1224"/>
      <c r="R377" s="1224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1" customHeight="1">
      <c r="A378" s="1132"/>
      <c r="E378" s="1214"/>
      <c r="F378" s="1215"/>
      <c r="G378" s="1243"/>
      <c r="I378" s="1241"/>
      <c r="J378" s="1224"/>
      <c r="K378" s="1224"/>
      <c r="L378" s="1224"/>
      <c r="M378" s="1224"/>
      <c r="N378" s="1224"/>
      <c r="O378" s="1224"/>
      <c r="P378" s="1224"/>
      <c r="Q378" s="1224"/>
      <c r="R378" s="1224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1" customHeight="1">
      <c r="A379" s="1244" t="s">
        <v>446</v>
      </c>
      <c r="C379" s="1221" t="s">
        <v>1157</v>
      </c>
      <c r="D379" s="1222" t="s">
        <v>1158</v>
      </c>
      <c r="F379" s="1223" t="s">
        <v>1159</v>
      </c>
      <c r="H379" s="1223" t="s">
        <v>1160</v>
      </c>
      <c r="J379" s="1126"/>
      <c r="K379" s="687"/>
      <c r="N379" s="685"/>
      <c r="O379" s="687"/>
      <c r="Q379" s="1126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1" customHeight="1">
      <c r="A380" s="1244" t="s">
        <v>446</v>
      </c>
      <c r="C380" s="1225" t="e">
        <f t="array" aca="1" ref="C380:C396" ca="1">_xludf.UNIQUE(B7:B374)</f>
        <v>#NAME?</v>
      </c>
      <c r="D380" s="1226">
        <f ca="1">SUMIFS($P$7:$P$349, $B$7:$B$349, C380, $C$7:$C$349, "*HORAS EXTRAS")</f>
        <v>0</v>
      </c>
      <c r="E380" s="1224"/>
      <c r="F380" s="1226">
        <f t="shared" ref="F380:F400" ca="1" si="335">SUMIF($C$7:$C$349,C380,$N$7:$N$349 )</f>
        <v>0</v>
      </c>
      <c r="G380" s="1224"/>
      <c r="H380" s="1226">
        <f t="shared" ref="H380:H400" ca="1" si="336">SUMIF($C$7:$C$349,C380,$P$7:$P$349 )</f>
        <v>0</v>
      </c>
      <c r="I380" s="1224"/>
      <c r="J380" s="1126"/>
      <c r="K380" s="687"/>
      <c r="N380" s="685"/>
      <c r="O380" s="1245"/>
      <c r="P380" s="1246"/>
      <c r="Q380" s="1247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1" customHeight="1">
      <c r="A381" s="1244" t="s">
        <v>446</v>
      </c>
      <c r="C381" s="1225" t="e">
        <f ca="1"/>
        <v>#NAME?</v>
      </c>
      <c r="D381" s="1226">
        <f t="shared" ref="D381:D400" ca="1" si="337">SUMIF($C$7:$C$349,C381,$J$7:$J$349 )</f>
        <v>0</v>
      </c>
      <c r="E381" s="1224"/>
      <c r="F381" s="1226">
        <f t="shared" ca="1" si="335"/>
        <v>0</v>
      </c>
      <c r="G381" s="1224"/>
      <c r="H381" s="1226">
        <f t="shared" ca="1" si="336"/>
        <v>0</v>
      </c>
      <c r="I381" s="1224"/>
      <c r="J381" s="1126"/>
      <c r="K381" s="687"/>
      <c r="N381" s="685"/>
      <c r="O381" s="687"/>
      <c r="Q381" s="1126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1" customHeight="1">
      <c r="A382" s="1244" t="s">
        <v>446</v>
      </c>
      <c r="C382" s="1227" t="e">
        <f ca="1"/>
        <v>#NAME?</v>
      </c>
      <c r="D382" s="1228">
        <f t="shared" ca="1" si="337"/>
        <v>0</v>
      </c>
      <c r="E382" s="1229">
        <f ca="1">SUM(D380:D382)</f>
        <v>0</v>
      </c>
      <c r="F382" s="1228">
        <f t="shared" ca="1" si="335"/>
        <v>0</v>
      </c>
      <c r="G382" s="1229">
        <f ca="1">SUM(F380:F382)</f>
        <v>0</v>
      </c>
      <c r="H382" s="1228">
        <f t="shared" ca="1" si="336"/>
        <v>0</v>
      </c>
      <c r="I382" s="1229">
        <f ca="1">SUM(H380:H382)</f>
        <v>0</v>
      </c>
      <c r="J382" s="1126"/>
      <c r="K382" s="687"/>
      <c r="N382" s="685"/>
      <c r="O382" s="687"/>
      <c r="Q382" s="1126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1" customHeight="1">
      <c r="A383" s="1244" t="s">
        <v>446</v>
      </c>
      <c r="C383" s="1232" t="e">
        <f ca="1"/>
        <v>#NAME?</v>
      </c>
      <c r="D383" s="1233">
        <f t="shared" ca="1" si="337"/>
        <v>0</v>
      </c>
      <c r="E383" s="1224"/>
      <c r="F383" s="1233">
        <f t="shared" ca="1" si="335"/>
        <v>0</v>
      </c>
      <c r="G383" s="1224"/>
      <c r="H383" s="1233">
        <f t="shared" ca="1" si="336"/>
        <v>0</v>
      </c>
      <c r="I383" s="1224"/>
      <c r="J383" s="1126"/>
      <c r="K383" s="687"/>
      <c r="N383" s="685"/>
      <c r="O383" s="687"/>
      <c r="Q383" s="1126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1" customHeight="1">
      <c r="A384" s="1244" t="s">
        <v>446</v>
      </c>
      <c r="C384" s="1232" t="e">
        <f ca="1"/>
        <v>#NAME?</v>
      </c>
      <c r="D384" s="1233">
        <f t="shared" ca="1" si="337"/>
        <v>0</v>
      </c>
      <c r="E384" s="1224"/>
      <c r="F384" s="1233">
        <f t="shared" ca="1" si="335"/>
        <v>0</v>
      </c>
      <c r="G384" s="1224"/>
      <c r="H384" s="1233">
        <f t="shared" ca="1" si="336"/>
        <v>0</v>
      </c>
      <c r="I384" s="1224"/>
      <c r="J384" s="1126"/>
      <c r="K384" s="687"/>
      <c r="N384" s="685"/>
      <c r="O384" s="687"/>
      <c r="Q384" s="1126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1" customHeight="1">
      <c r="A385" s="1244" t="s">
        <v>446</v>
      </c>
      <c r="C385" s="1235" t="e">
        <f ca="1"/>
        <v>#NAME?</v>
      </c>
      <c r="D385" s="1236">
        <f t="shared" ca="1" si="337"/>
        <v>0</v>
      </c>
      <c r="E385" s="1229">
        <f ca="1">SUM(D383:D385)</f>
        <v>0</v>
      </c>
      <c r="F385" s="1236">
        <f t="shared" ca="1" si="335"/>
        <v>0</v>
      </c>
      <c r="G385" s="1229">
        <f ca="1">SUM(F383:F385)</f>
        <v>0</v>
      </c>
      <c r="H385" s="1236">
        <f t="shared" ca="1" si="336"/>
        <v>0</v>
      </c>
      <c r="I385" s="1229">
        <f ca="1">SUM(H383:H385)</f>
        <v>0</v>
      </c>
      <c r="J385" s="1126"/>
      <c r="K385" s="687"/>
      <c r="N385" s="685"/>
      <c r="O385" s="687"/>
      <c r="Q385" s="1126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1" customHeight="1">
      <c r="A386" s="1244" t="s">
        <v>446</v>
      </c>
      <c r="C386" s="1225" t="e">
        <f ca="1"/>
        <v>#NAME?</v>
      </c>
      <c r="D386" s="1226">
        <f t="shared" ca="1" si="337"/>
        <v>0</v>
      </c>
      <c r="E386" s="1224"/>
      <c r="F386" s="1226">
        <f t="shared" ca="1" si="335"/>
        <v>0</v>
      </c>
      <c r="G386" s="1224"/>
      <c r="H386" s="1226">
        <f t="shared" ca="1" si="336"/>
        <v>0</v>
      </c>
      <c r="I386" s="1224"/>
      <c r="J386" s="1126"/>
      <c r="K386" s="687"/>
      <c r="N386" s="685"/>
      <c r="O386" s="687"/>
      <c r="Q386" s="1126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1" customHeight="1">
      <c r="A387" s="1244" t="s">
        <v>446</v>
      </c>
      <c r="C387" s="1225" t="e">
        <f ca="1"/>
        <v>#NAME?</v>
      </c>
      <c r="D387" s="1226">
        <f t="shared" ca="1" si="337"/>
        <v>0</v>
      </c>
      <c r="E387" s="1224"/>
      <c r="F387" s="1226">
        <f t="shared" ca="1" si="335"/>
        <v>0</v>
      </c>
      <c r="G387" s="1224"/>
      <c r="H387" s="1226">
        <f t="shared" ca="1" si="336"/>
        <v>0</v>
      </c>
      <c r="I387" s="1224"/>
      <c r="J387" s="1126"/>
      <c r="K387" s="687"/>
      <c r="N387" s="685"/>
      <c r="O387" s="687"/>
      <c r="Q387" s="1126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1" customHeight="1">
      <c r="A388" s="1244" t="s">
        <v>446</v>
      </c>
      <c r="C388" s="1227" t="e">
        <f ca="1"/>
        <v>#NAME?</v>
      </c>
      <c r="D388" s="1228">
        <f t="shared" ca="1" si="337"/>
        <v>0</v>
      </c>
      <c r="E388" s="1229">
        <f ca="1">SUM(D386:D388)</f>
        <v>0</v>
      </c>
      <c r="F388" s="1228">
        <f t="shared" ca="1" si="335"/>
        <v>0</v>
      </c>
      <c r="G388" s="1229">
        <f ca="1">SUM(F386:F388)</f>
        <v>0</v>
      </c>
      <c r="H388" s="1228">
        <f t="shared" ca="1" si="336"/>
        <v>0</v>
      </c>
      <c r="I388" s="1229">
        <f ca="1">SUM(H386:H388)</f>
        <v>0</v>
      </c>
      <c r="J388" s="1126"/>
      <c r="K388" s="687"/>
      <c r="N388" s="685"/>
      <c r="O388" s="687"/>
      <c r="Q388" s="1126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1" customHeight="1">
      <c r="A389" s="1244" t="s">
        <v>446</v>
      </c>
      <c r="C389" s="1232" t="e">
        <f ca="1"/>
        <v>#NAME?</v>
      </c>
      <c r="D389" s="1233">
        <f t="shared" ca="1" si="337"/>
        <v>0</v>
      </c>
      <c r="E389" s="1224"/>
      <c r="F389" s="1233">
        <f t="shared" ca="1" si="335"/>
        <v>0</v>
      </c>
      <c r="G389" s="1224"/>
      <c r="H389" s="1233">
        <f t="shared" ca="1" si="336"/>
        <v>0</v>
      </c>
      <c r="I389" s="1224"/>
      <c r="J389" s="1126"/>
      <c r="K389" s="687"/>
      <c r="N389" s="685"/>
      <c r="O389" s="687"/>
      <c r="Q389" s="1126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1" customHeight="1">
      <c r="A390" s="1244" t="s">
        <v>446</v>
      </c>
      <c r="C390" s="1232" t="e">
        <f ca="1"/>
        <v>#NAME?</v>
      </c>
      <c r="D390" s="1233">
        <f t="shared" ca="1" si="337"/>
        <v>0</v>
      </c>
      <c r="E390" s="1224"/>
      <c r="F390" s="1233">
        <f t="shared" ca="1" si="335"/>
        <v>0</v>
      </c>
      <c r="G390" s="1224"/>
      <c r="H390" s="1233">
        <f t="shared" ca="1" si="336"/>
        <v>0</v>
      </c>
      <c r="I390" s="1224"/>
      <c r="J390" s="1126"/>
      <c r="K390" s="687"/>
      <c r="N390" s="685"/>
      <c r="O390" s="687"/>
      <c r="Q390" s="1126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3.25" customHeight="1">
      <c r="A391" s="1244" t="s">
        <v>446</v>
      </c>
      <c r="C391" s="1235" t="e">
        <f ca="1"/>
        <v>#NAME?</v>
      </c>
      <c r="D391" s="1236">
        <f t="shared" ca="1" si="337"/>
        <v>0</v>
      </c>
      <c r="E391" s="1229">
        <f ca="1">SUM(D389:D391)</f>
        <v>0</v>
      </c>
      <c r="F391" s="1236">
        <f t="shared" ca="1" si="335"/>
        <v>0</v>
      </c>
      <c r="G391" s="1229">
        <f ca="1">SUM(F389:F391)</f>
        <v>0</v>
      </c>
      <c r="H391" s="1236">
        <f t="shared" ca="1" si="336"/>
        <v>0</v>
      </c>
      <c r="I391" s="1229">
        <f ca="1">SUM(H389:H391)</f>
        <v>0</v>
      </c>
      <c r="J391" s="1126"/>
      <c r="K391" s="687"/>
      <c r="N391" s="685"/>
      <c r="O391" s="687"/>
      <c r="Q391" s="1126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4" customHeight="1">
      <c r="A392" s="1244" t="s">
        <v>446</v>
      </c>
      <c r="C392" s="1225" t="e">
        <f ca="1"/>
        <v>#NAME?</v>
      </c>
      <c r="D392" s="1226">
        <f t="shared" ca="1" si="337"/>
        <v>0</v>
      </c>
      <c r="E392" s="1224"/>
      <c r="F392" s="1226">
        <f t="shared" ca="1" si="335"/>
        <v>0</v>
      </c>
      <c r="G392" s="1224"/>
      <c r="H392" s="1226">
        <f t="shared" ca="1" si="336"/>
        <v>0</v>
      </c>
      <c r="I392" s="1224"/>
      <c r="J392" s="1126"/>
      <c r="K392" s="687"/>
      <c r="N392" s="685"/>
      <c r="O392" s="1248"/>
      <c r="P392" s="1249"/>
      <c r="Q392" s="1250"/>
      <c r="R392" s="1251"/>
      <c r="S392" s="1251"/>
      <c r="T392" s="1251"/>
      <c r="U392" s="1251"/>
      <c r="V392" s="1251"/>
      <c r="W392" s="1251"/>
      <c r="X392" s="1251"/>
      <c r="Y392" s="1251"/>
      <c r="Z392" s="1251"/>
      <c r="AA392" s="1251"/>
    </row>
    <row r="393" spans="1:27" ht="15.75" customHeight="1">
      <c r="A393" s="2"/>
      <c r="C393" s="1225" t="e">
        <f ca="1"/>
        <v>#NAME?</v>
      </c>
      <c r="D393" s="1226">
        <f t="shared" ca="1" si="337"/>
        <v>0</v>
      </c>
      <c r="E393" s="1224"/>
      <c r="F393" s="1226">
        <f t="shared" ca="1" si="335"/>
        <v>0</v>
      </c>
      <c r="G393" s="1224"/>
      <c r="H393" s="1226">
        <f t="shared" ca="1" si="336"/>
        <v>0</v>
      </c>
      <c r="I393" s="1224"/>
      <c r="J393" s="1126"/>
      <c r="K393" s="687"/>
      <c r="N393" s="685"/>
      <c r="O393" s="687"/>
      <c r="Q393" s="1126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C394" s="1227" t="e">
        <f ca="1"/>
        <v>#NAME?</v>
      </c>
      <c r="D394" s="1228">
        <f t="shared" ca="1" si="337"/>
        <v>0</v>
      </c>
      <c r="E394" s="1229">
        <f ca="1">SUM(D392:D394)</f>
        <v>0</v>
      </c>
      <c r="F394" s="1228">
        <f t="shared" ca="1" si="335"/>
        <v>0</v>
      </c>
      <c r="G394" s="1229">
        <f ca="1">SUM(F392:F394)</f>
        <v>0</v>
      </c>
      <c r="H394" s="1228">
        <f t="shared" ca="1" si="336"/>
        <v>0</v>
      </c>
      <c r="I394" s="1229">
        <f ca="1">SUM(H392:H394)</f>
        <v>0</v>
      </c>
      <c r="J394" s="1126"/>
      <c r="K394" s="687"/>
      <c r="N394" s="685"/>
      <c r="O394" s="687"/>
      <c r="Q394" s="1126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C395" s="1232" t="e">
        <f ca="1"/>
        <v>#NAME?</v>
      </c>
      <c r="D395" s="1233">
        <f t="shared" ca="1" si="337"/>
        <v>0</v>
      </c>
      <c r="E395" s="1224"/>
      <c r="F395" s="1233">
        <f t="shared" ca="1" si="335"/>
        <v>0</v>
      </c>
      <c r="G395" s="1224"/>
      <c r="H395" s="1233">
        <f t="shared" ca="1" si="336"/>
        <v>0</v>
      </c>
      <c r="I395" s="1224"/>
      <c r="J395" s="1126"/>
      <c r="K395" s="687"/>
      <c r="N395" s="685"/>
      <c r="O395" s="687"/>
      <c r="Q395" s="1126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C396" s="1232" t="e">
        <f ca="1"/>
        <v>#NAME?</v>
      </c>
      <c r="D396" s="1233">
        <f t="shared" ca="1" si="337"/>
        <v>0</v>
      </c>
      <c r="E396" s="1224"/>
      <c r="F396" s="1233">
        <f t="shared" ca="1" si="335"/>
        <v>0</v>
      </c>
      <c r="G396" s="1224"/>
      <c r="H396" s="1233">
        <f t="shared" ca="1" si="336"/>
        <v>0</v>
      </c>
      <c r="I396" s="1224"/>
      <c r="J396" s="1126"/>
      <c r="K396" s="687"/>
      <c r="N396" s="685"/>
      <c r="O396" s="687"/>
      <c r="Q396" s="1126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C397" s="1235"/>
      <c r="D397" s="1236">
        <f t="shared" si="337"/>
        <v>0</v>
      </c>
      <c r="E397" s="1229">
        <f ca="1">SUM(D395:D397)</f>
        <v>0</v>
      </c>
      <c r="F397" s="1236">
        <f t="shared" si="335"/>
        <v>0</v>
      </c>
      <c r="G397" s="1229">
        <f ca="1">SUM(F395:F397)</f>
        <v>0</v>
      </c>
      <c r="H397" s="1236">
        <f t="shared" si="336"/>
        <v>0</v>
      </c>
      <c r="I397" s="1229">
        <f ca="1">SUM(H395:H397)</f>
        <v>0</v>
      </c>
      <c r="J397" s="1126"/>
      <c r="K397" s="687"/>
      <c r="N397" s="685"/>
      <c r="O397" s="687"/>
      <c r="Q397" s="1126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C398" s="1225"/>
      <c r="D398" s="1226">
        <f t="shared" si="337"/>
        <v>0</v>
      </c>
      <c r="E398" s="1224"/>
      <c r="F398" s="1226">
        <f t="shared" si="335"/>
        <v>0</v>
      </c>
      <c r="G398" s="1224"/>
      <c r="H398" s="1226">
        <f t="shared" si="336"/>
        <v>0</v>
      </c>
      <c r="I398" s="1224"/>
      <c r="J398" s="1126"/>
      <c r="K398" s="687"/>
      <c r="N398" s="685"/>
      <c r="O398" s="687"/>
      <c r="Q398" s="1126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C399" s="1225"/>
      <c r="D399" s="1226">
        <f t="shared" si="337"/>
        <v>0</v>
      </c>
      <c r="E399" s="1224"/>
      <c r="F399" s="1226">
        <f t="shared" si="335"/>
        <v>0</v>
      </c>
      <c r="G399" s="1224"/>
      <c r="H399" s="1226">
        <f t="shared" si="336"/>
        <v>0</v>
      </c>
      <c r="I399" s="1224"/>
      <c r="J399" s="1126"/>
      <c r="K399" s="687"/>
      <c r="N399" s="685"/>
      <c r="O399" s="687"/>
      <c r="Q399" s="1126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C400" s="1227"/>
      <c r="D400" s="1228">
        <f t="shared" si="337"/>
        <v>0</v>
      </c>
      <c r="E400" s="1229">
        <f>SUM(D398:D400)</f>
        <v>0</v>
      </c>
      <c r="F400" s="1228">
        <f t="shared" si="335"/>
        <v>0</v>
      </c>
      <c r="G400" s="1229">
        <f>SUM(F398:F400)</f>
        <v>0</v>
      </c>
      <c r="H400" s="1228">
        <f t="shared" si="336"/>
        <v>0</v>
      </c>
      <c r="I400" s="1229">
        <f>SUM(H398:H400)</f>
        <v>0</v>
      </c>
      <c r="J400" s="1126"/>
      <c r="K400" s="687"/>
      <c r="N400" s="685"/>
      <c r="O400" s="687"/>
      <c r="Q400" s="1126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D401" s="1238"/>
      <c r="F401" s="1239"/>
      <c r="G401" s="1240"/>
      <c r="I401" s="1241"/>
      <c r="J401" s="1126"/>
      <c r="K401" s="687"/>
      <c r="N401" s="685"/>
      <c r="O401" s="687"/>
      <c r="Q401" s="1126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7.75" customHeight="1">
      <c r="A402" s="2"/>
      <c r="D402" s="1242">
        <f ca="1">SUM(D380:D400)</f>
        <v>0</v>
      </c>
      <c r="F402" s="1242">
        <f ca="1">SUM(F380:F400)</f>
        <v>0</v>
      </c>
      <c r="H402" s="1242">
        <f ca="1">SUM(H380:H400)</f>
        <v>0</v>
      </c>
      <c r="J402" s="1126"/>
      <c r="K402" s="687"/>
      <c r="N402" s="685"/>
      <c r="O402" s="687"/>
      <c r="Q402" s="1126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E403" s="1214"/>
      <c r="F403" s="1215"/>
      <c r="G403" s="1130"/>
      <c r="H403" s="1124"/>
      <c r="I403" s="1125"/>
      <c r="J403" s="1126"/>
      <c r="K403" s="687"/>
      <c r="N403" s="685"/>
      <c r="O403" s="687"/>
      <c r="Q403" s="1126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E404" s="1214"/>
      <c r="F404" s="1215"/>
      <c r="G404" s="1130"/>
      <c r="H404" s="1124"/>
      <c r="I404" s="1125"/>
      <c r="J404" s="1126"/>
      <c r="K404" s="687"/>
      <c r="N404" s="685"/>
      <c r="O404" s="687"/>
      <c r="Q404" s="1126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E405" s="1214"/>
      <c r="F405" s="1215"/>
      <c r="G405" s="1130"/>
      <c r="H405" s="1124"/>
      <c r="I405" s="1125"/>
      <c r="J405" s="1126"/>
      <c r="K405" s="687"/>
      <c r="N405" s="685"/>
      <c r="O405" s="687"/>
      <c r="Q405" s="1126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E406" s="1214"/>
      <c r="F406" s="1215"/>
      <c r="G406" s="1130"/>
      <c r="H406" s="1124"/>
      <c r="I406" s="1125"/>
      <c r="J406" s="1126"/>
      <c r="K406" s="687"/>
      <c r="N406" s="685"/>
      <c r="O406" s="687"/>
      <c r="Q406" s="1126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E407" s="1214"/>
      <c r="F407" s="1215"/>
      <c r="G407" s="1130"/>
      <c r="H407" s="1124"/>
      <c r="I407" s="1125"/>
      <c r="J407" s="1126"/>
      <c r="K407" s="687"/>
      <c r="N407" s="685"/>
      <c r="O407" s="687"/>
      <c r="Q407" s="1126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E408" s="1214"/>
      <c r="F408" s="1215"/>
      <c r="G408" s="1130"/>
      <c r="H408" s="1124"/>
      <c r="I408" s="1125"/>
      <c r="J408" s="1126"/>
      <c r="K408" s="687"/>
      <c r="N408" s="685"/>
      <c r="O408" s="687"/>
      <c r="Q408" s="1126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E409" s="1214"/>
      <c r="F409" s="1215"/>
      <c r="G409" s="1130"/>
      <c r="H409" s="1124"/>
      <c r="I409" s="1125"/>
      <c r="J409" s="1126"/>
      <c r="K409" s="687"/>
      <c r="N409" s="685"/>
      <c r="O409" s="687"/>
      <c r="Q409" s="1126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E410" s="1214"/>
      <c r="F410" s="1215"/>
      <c r="G410" s="1130"/>
      <c r="H410" s="1124"/>
      <c r="I410" s="1125"/>
      <c r="J410" s="1126"/>
      <c r="K410" s="687"/>
      <c r="N410" s="685"/>
      <c r="O410" s="687"/>
      <c r="Q410" s="1126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E411" s="1214"/>
      <c r="F411" s="1215"/>
      <c r="G411" s="1130"/>
      <c r="H411" s="1124"/>
      <c r="I411" s="1125"/>
      <c r="J411" s="1126"/>
      <c r="K411" s="687"/>
      <c r="N411" s="685"/>
      <c r="O411" s="687"/>
      <c r="Q411" s="1126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E412" s="1214"/>
      <c r="F412" s="1215"/>
      <c r="G412" s="1130"/>
      <c r="H412" s="1124"/>
      <c r="I412" s="1125"/>
      <c r="J412" s="1126"/>
      <c r="K412" s="687"/>
      <c r="N412" s="685"/>
      <c r="O412" s="687"/>
      <c r="Q412" s="1126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E413" s="1214"/>
      <c r="F413" s="1215"/>
      <c r="G413" s="1130"/>
      <c r="H413" s="1124"/>
      <c r="I413" s="1125"/>
      <c r="J413" s="1126"/>
      <c r="K413" s="687"/>
      <c r="N413" s="685"/>
      <c r="O413" s="687"/>
      <c r="Q413" s="1126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E414" s="1214"/>
      <c r="F414" s="1215"/>
      <c r="G414" s="1130"/>
      <c r="H414" s="1124"/>
      <c r="I414" s="1125"/>
      <c r="J414" s="1126"/>
      <c r="K414" s="687"/>
      <c r="N414" s="685"/>
      <c r="O414" s="687"/>
      <c r="Q414" s="1126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E415" s="1214"/>
      <c r="F415" s="1215"/>
      <c r="G415" s="1130"/>
      <c r="H415" s="1124"/>
      <c r="I415" s="1125"/>
      <c r="J415" s="1126"/>
      <c r="K415" s="687"/>
      <c r="N415" s="685"/>
      <c r="O415" s="687"/>
      <c r="Q415" s="1126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E416" s="1214"/>
      <c r="F416" s="1215"/>
      <c r="G416" s="1130"/>
      <c r="H416" s="1124"/>
      <c r="I416" s="1125"/>
      <c r="J416" s="1126"/>
      <c r="K416" s="687"/>
      <c r="N416" s="685"/>
      <c r="O416" s="687"/>
      <c r="Q416" s="1126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E417" s="1214"/>
      <c r="F417" s="1215"/>
      <c r="G417" s="1130"/>
      <c r="H417" s="1124"/>
      <c r="I417" s="1125"/>
      <c r="J417" s="1126"/>
      <c r="K417" s="687"/>
      <c r="N417" s="685"/>
      <c r="O417" s="687"/>
      <c r="Q417" s="1126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E418" s="1214"/>
      <c r="F418" s="1215"/>
      <c r="G418" s="1130"/>
      <c r="H418" s="1124"/>
      <c r="I418" s="1125"/>
      <c r="J418" s="1126"/>
      <c r="K418" s="687"/>
      <c r="N418" s="685"/>
      <c r="O418" s="687"/>
      <c r="Q418" s="1126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E419" s="1214"/>
      <c r="F419" s="1215"/>
      <c r="G419" s="1130"/>
      <c r="H419" s="1124"/>
      <c r="I419" s="1125"/>
      <c r="J419" s="1126"/>
      <c r="K419" s="687"/>
      <c r="N419" s="685"/>
      <c r="O419" s="687"/>
      <c r="Q419" s="1126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E420" s="1214"/>
      <c r="F420" s="1215"/>
      <c r="G420" s="1130"/>
      <c r="H420" s="1124"/>
      <c r="I420" s="1125"/>
      <c r="J420" s="1126"/>
      <c r="K420" s="687"/>
      <c r="N420" s="685"/>
      <c r="O420" s="687"/>
      <c r="Q420" s="1126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E421" s="1214"/>
      <c r="F421" s="1215"/>
      <c r="G421" s="1130"/>
      <c r="H421" s="1124"/>
      <c r="I421" s="1125"/>
      <c r="J421" s="1126"/>
      <c r="K421" s="687"/>
      <c r="N421" s="685"/>
      <c r="O421" s="687"/>
      <c r="Q421" s="1126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E422" s="1214"/>
      <c r="F422" s="1215"/>
      <c r="G422" s="1130"/>
      <c r="H422" s="1124"/>
      <c r="I422" s="1125"/>
      <c r="J422" s="1126"/>
      <c r="K422" s="687"/>
      <c r="N422" s="685"/>
      <c r="O422" s="687"/>
      <c r="Q422" s="1126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E423" s="1214"/>
      <c r="F423" s="1215"/>
      <c r="G423" s="1130"/>
      <c r="H423" s="1124"/>
      <c r="I423" s="1125"/>
      <c r="J423" s="1126"/>
      <c r="K423" s="687"/>
      <c r="N423" s="685"/>
      <c r="O423" s="687"/>
      <c r="Q423" s="1126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E424" s="1214"/>
      <c r="F424" s="1215"/>
      <c r="G424" s="1130"/>
      <c r="H424" s="1124"/>
      <c r="I424" s="1125"/>
      <c r="J424" s="1126"/>
      <c r="K424" s="687"/>
      <c r="N424" s="685"/>
      <c r="O424" s="687"/>
      <c r="Q424" s="1126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E425" s="1214"/>
      <c r="F425" s="1215"/>
      <c r="G425" s="1130"/>
      <c r="H425" s="1124"/>
      <c r="I425" s="1125"/>
      <c r="J425" s="1126"/>
      <c r="K425" s="687"/>
      <c r="N425" s="685"/>
      <c r="O425" s="687"/>
      <c r="Q425" s="1126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E426" s="1214"/>
      <c r="F426" s="1215"/>
      <c r="G426" s="1130"/>
      <c r="H426" s="1124"/>
      <c r="I426" s="1125"/>
      <c r="J426" s="1126"/>
      <c r="K426" s="687"/>
      <c r="N426" s="685"/>
      <c r="O426" s="687"/>
      <c r="Q426" s="1126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E427" s="1214"/>
      <c r="F427" s="1215"/>
      <c r="G427" s="1130"/>
      <c r="H427" s="1124"/>
      <c r="I427" s="1125"/>
      <c r="J427" s="1126"/>
      <c r="K427" s="687"/>
      <c r="N427" s="685"/>
      <c r="O427" s="687"/>
      <c r="Q427" s="1126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E428" s="1214"/>
      <c r="F428" s="1215"/>
      <c r="G428" s="1130"/>
      <c r="H428" s="1124"/>
      <c r="I428" s="1125"/>
      <c r="J428" s="1126"/>
      <c r="K428" s="687"/>
      <c r="N428" s="685"/>
      <c r="O428" s="687"/>
      <c r="Q428" s="1126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E429" s="1214"/>
      <c r="F429" s="1215"/>
      <c r="G429" s="1130"/>
      <c r="H429" s="1124"/>
      <c r="I429" s="1125"/>
      <c r="J429" s="1126"/>
      <c r="K429" s="687"/>
      <c r="N429" s="685"/>
      <c r="O429" s="687"/>
      <c r="Q429" s="1126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E430" s="1214"/>
      <c r="F430" s="1215"/>
      <c r="G430" s="1130"/>
      <c r="H430" s="1124"/>
      <c r="I430" s="1125"/>
      <c r="J430" s="1126"/>
      <c r="K430" s="687"/>
      <c r="N430" s="685"/>
      <c r="O430" s="687"/>
      <c r="Q430" s="1126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E431" s="1214"/>
      <c r="F431" s="1215"/>
      <c r="G431" s="1130"/>
      <c r="H431" s="1124"/>
      <c r="I431" s="1125"/>
      <c r="J431" s="1126"/>
      <c r="K431" s="687"/>
      <c r="N431" s="685"/>
      <c r="O431" s="687"/>
      <c r="Q431" s="1126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E432" s="1214"/>
      <c r="F432" s="1215"/>
      <c r="G432" s="1130"/>
      <c r="H432" s="1124"/>
      <c r="I432" s="1125"/>
      <c r="J432" s="1126"/>
      <c r="K432" s="687"/>
      <c r="N432" s="685"/>
      <c r="O432" s="687"/>
      <c r="Q432" s="1126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E433" s="1214"/>
      <c r="F433" s="1215"/>
      <c r="G433" s="1130"/>
      <c r="H433" s="1124"/>
      <c r="I433" s="1125"/>
      <c r="J433" s="1126"/>
      <c r="K433" s="687"/>
      <c r="N433" s="685"/>
      <c r="O433" s="687"/>
      <c r="Q433" s="1126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E434" s="1214"/>
      <c r="F434" s="1215"/>
      <c r="G434" s="1130"/>
      <c r="H434" s="1124"/>
      <c r="I434" s="1125"/>
      <c r="J434" s="1126"/>
      <c r="K434" s="687"/>
      <c r="N434" s="685"/>
      <c r="O434" s="687"/>
      <c r="Q434" s="1126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E435" s="1214"/>
      <c r="F435" s="1215"/>
      <c r="G435" s="1130"/>
      <c r="H435" s="1124"/>
      <c r="I435" s="1125"/>
      <c r="J435" s="1126"/>
      <c r="K435" s="687"/>
      <c r="N435" s="685"/>
      <c r="O435" s="687"/>
      <c r="Q435" s="1126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E436" s="1214"/>
      <c r="F436" s="1215"/>
      <c r="G436" s="1130"/>
      <c r="H436" s="1124"/>
      <c r="I436" s="1125"/>
      <c r="J436" s="1126"/>
      <c r="K436" s="687"/>
      <c r="N436" s="685"/>
      <c r="O436" s="687"/>
      <c r="Q436" s="1126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E437" s="1214"/>
      <c r="F437" s="1215"/>
      <c r="G437" s="1130"/>
      <c r="H437" s="1124"/>
      <c r="I437" s="1125"/>
      <c r="J437" s="1126"/>
      <c r="K437" s="687"/>
      <c r="N437" s="685"/>
      <c r="O437" s="687"/>
      <c r="Q437" s="1126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E438" s="1214"/>
      <c r="F438" s="1215"/>
      <c r="G438" s="1130"/>
      <c r="H438" s="1124"/>
      <c r="I438" s="1125"/>
      <c r="J438" s="1126"/>
      <c r="K438" s="687"/>
      <c r="N438" s="685"/>
      <c r="O438" s="687"/>
      <c r="Q438" s="1126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E439" s="1214"/>
      <c r="F439" s="1215"/>
      <c r="G439" s="1130"/>
      <c r="H439" s="1124"/>
      <c r="I439" s="1125"/>
      <c r="J439" s="1126"/>
      <c r="K439" s="687"/>
      <c r="N439" s="685"/>
      <c r="O439" s="687"/>
      <c r="Q439" s="1126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E440" s="1214"/>
      <c r="F440" s="1215"/>
      <c r="G440" s="1130"/>
      <c r="H440" s="1124"/>
      <c r="I440" s="1125"/>
      <c r="J440" s="1126"/>
      <c r="K440" s="687"/>
      <c r="N440" s="685"/>
      <c r="O440" s="687"/>
      <c r="Q440" s="1126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E441" s="1214"/>
      <c r="F441" s="1215"/>
      <c r="G441" s="1130"/>
      <c r="H441" s="1124"/>
      <c r="I441" s="1125"/>
      <c r="J441" s="1126"/>
      <c r="K441" s="687"/>
      <c r="N441" s="685"/>
      <c r="O441" s="687"/>
      <c r="Q441" s="1126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E442" s="1214"/>
      <c r="F442" s="1215"/>
      <c r="G442" s="1130"/>
      <c r="H442" s="1124"/>
      <c r="I442" s="1125"/>
      <c r="J442" s="1126"/>
      <c r="K442" s="687"/>
      <c r="N442" s="685"/>
      <c r="O442" s="687"/>
      <c r="Q442" s="1126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E443" s="1214"/>
      <c r="F443" s="1215"/>
      <c r="G443" s="1130"/>
      <c r="H443" s="1124"/>
      <c r="I443" s="1125"/>
      <c r="J443" s="1126"/>
      <c r="K443" s="687"/>
      <c r="N443" s="685"/>
      <c r="O443" s="687"/>
      <c r="Q443" s="1126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E444" s="1214"/>
      <c r="F444" s="1215"/>
      <c r="G444" s="1130"/>
      <c r="H444" s="1124"/>
      <c r="I444" s="1125"/>
      <c r="J444" s="1126"/>
      <c r="K444" s="687"/>
      <c r="N444" s="685"/>
      <c r="O444" s="687"/>
      <c r="Q444" s="1126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E445" s="1214"/>
      <c r="F445" s="1215"/>
      <c r="G445" s="1130"/>
      <c r="H445" s="1124"/>
      <c r="I445" s="1125"/>
      <c r="J445" s="1126"/>
      <c r="K445" s="687"/>
      <c r="N445" s="685"/>
      <c r="O445" s="687"/>
      <c r="Q445" s="1126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E446" s="1214"/>
      <c r="F446" s="1215"/>
      <c r="G446" s="1130"/>
      <c r="H446" s="1124"/>
      <c r="I446" s="1125"/>
      <c r="J446" s="1126"/>
      <c r="K446" s="687"/>
      <c r="N446" s="685"/>
      <c r="O446" s="687"/>
      <c r="Q446" s="1126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E447" s="1214"/>
      <c r="F447" s="1215"/>
      <c r="G447" s="1130"/>
      <c r="H447" s="1124"/>
      <c r="I447" s="1125"/>
      <c r="J447" s="1126"/>
      <c r="K447" s="687"/>
      <c r="N447" s="685"/>
      <c r="O447" s="687"/>
      <c r="Q447" s="1126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E448" s="1214"/>
      <c r="F448" s="1215"/>
      <c r="G448" s="1130"/>
      <c r="H448" s="1124"/>
      <c r="I448" s="1125"/>
      <c r="J448" s="1126"/>
      <c r="K448" s="687"/>
      <c r="N448" s="685"/>
      <c r="O448" s="687"/>
      <c r="Q448" s="1126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E449" s="1214"/>
      <c r="F449" s="1215"/>
      <c r="G449" s="1130"/>
      <c r="H449" s="1124"/>
      <c r="I449" s="1125"/>
      <c r="J449" s="1126"/>
      <c r="K449" s="687"/>
      <c r="N449" s="685"/>
      <c r="O449" s="687"/>
      <c r="Q449" s="1126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E450" s="1214"/>
      <c r="F450" s="1215"/>
      <c r="G450" s="1130"/>
      <c r="H450" s="1124"/>
      <c r="I450" s="1125"/>
      <c r="J450" s="1126"/>
      <c r="K450" s="687"/>
      <c r="N450" s="685"/>
      <c r="O450" s="687"/>
      <c r="Q450" s="1126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E451" s="1214"/>
      <c r="F451" s="1215"/>
      <c r="G451" s="1130"/>
      <c r="H451" s="1124"/>
      <c r="I451" s="1125"/>
      <c r="J451" s="1126"/>
      <c r="K451" s="687"/>
      <c r="N451" s="685"/>
      <c r="O451" s="687"/>
      <c r="Q451" s="1126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E452" s="1214"/>
      <c r="F452" s="1215"/>
      <c r="G452" s="1130"/>
      <c r="H452" s="1124"/>
      <c r="I452" s="1125"/>
      <c r="J452" s="1126"/>
      <c r="K452" s="687"/>
      <c r="N452" s="685"/>
      <c r="O452" s="687"/>
      <c r="Q452" s="1126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E453" s="1214"/>
      <c r="F453" s="1215"/>
      <c r="G453" s="1130"/>
      <c r="H453" s="1124"/>
      <c r="I453" s="1125"/>
      <c r="J453" s="1126"/>
      <c r="K453" s="687"/>
      <c r="N453" s="685"/>
      <c r="O453" s="687"/>
      <c r="Q453" s="1126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E454" s="1214"/>
      <c r="F454" s="1215"/>
      <c r="G454" s="1130"/>
      <c r="H454" s="1124"/>
      <c r="I454" s="1125"/>
      <c r="J454" s="1126"/>
      <c r="K454" s="687"/>
      <c r="N454" s="685"/>
      <c r="O454" s="687"/>
      <c r="Q454" s="1126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E455" s="1214"/>
      <c r="F455" s="1215"/>
      <c r="G455" s="1130"/>
      <c r="H455" s="1124"/>
      <c r="I455" s="1125"/>
      <c r="J455" s="1126"/>
      <c r="K455" s="687"/>
      <c r="N455" s="685"/>
      <c r="O455" s="687"/>
      <c r="Q455" s="1126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E456" s="1214"/>
      <c r="F456" s="1215"/>
      <c r="G456" s="1130"/>
      <c r="H456" s="1124"/>
      <c r="I456" s="1125"/>
      <c r="J456" s="1126"/>
      <c r="K456" s="687"/>
      <c r="N456" s="685"/>
      <c r="O456" s="687"/>
      <c r="Q456" s="1126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E457" s="1214"/>
      <c r="F457" s="1215"/>
      <c r="G457" s="1130"/>
      <c r="H457" s="1124"/>
      <c r="I457" s="1125"/>
      <c r="J457" s="1126"/>
      <c r="K457" s="687"/>
      <c r="N457" s="685"/>
      <c r="O457" s="687"/>
      <c r="Q457" s="1126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E458" s="1214"/>
      <c r="F458" s="1215"/>
      <c r="G458" s="1130"/>
      <c r="H458" s="1124"/>
      <c r="I458" s="1125"/>
      <c r="J458" s="1126"/>
      <c r="K458" s="687"/>
      <c r="N458" s="685"/>
      <c r="O458" s="687"/>
      <c r="Q458" s="1126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E459" s="1214"/>
      <c r="F459" s="1215"/>
      <c r="G459" s="1130"/>
      <c r="H459" s="1124"/>
      <c r="I459" s="1125"/>
      <c r="J459" s="1126"/>
      <c r="K459" s="687"/>
      <c r="N459" s="685"/>
      <c r="O459" s="687"/>
      <c r="Q459" s="1126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E460" s="1214"/>
      <c r="F460" s="1215"/>
      <c r="G460" s="1130"/>
      <c r="H460" s="1124"/>
      <c r="I460" s="1125"/>
      <c r="J460" s="1126"/>
      <c r="K460" s="687"/>
      <c r="N460" s="685"/>
      <c r="O460" s="687"/>
      <c r="Q460" s="1126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E461" s="1214"/>
      <c r="F461" s="1215"/>
      <c r="G461" s="1130"/>
      <c r="H461" s="1124"/>
      <c r="I461" s="1125"/>
      <c r="J461" s="1126"/>
      <c r="K461" s="687"/>
      <c r="N461" s="685"/>
      <c r="O461" s="687"/>
      <c r="Q461" s="1126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E462" s="1214"/>
      <c r="F462" s="1215"/>
      <c r="G462" s="1130"/>
      <c r="H462" s="1124"/>
      <c r="I462" s="1125"/>
      <c r="J462" s="1126"/>
      <c r="K462" s="687"/>
      <c r="N462" s="685"/>
      <c r="O462" s="687"/>
      <c r="Q462" s="1126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E463" s="1214"/>
      <c r="F463" s="1215"/>
      <c r="G463" s="1130"/>
      <c r="H463" s="1124"/>
      <c r="I463" s="1125"/>
      <c r="J463" s="1126"/>
      <c r="K463" s="687"/>
      <c r="N463" s="685"/>
      <c r="O463" s="687"/>
      <c r="Q463" s="1126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E464" s="1214"/>
      <c r="F464" s="1215"/>
      <c r="G464" s="1130"/>
      <c r="H464" s="1124"/>
      <c r="I464" s="1125"/>
      <c r="J464" s="1126"/>
      <c r="K464" s="687"/>
      <c r="N464" s="685"/>
      <c r="O464" s="687"/>
      <c r="Q464" s="1126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E465" s="1214"/>
      <c r="F465" s="1215"/>
      <c r="G465" s="1130"/>
      <c r="H465" s="1124"/>
      <c r="I465" s="1125"/>
      <c r="J465" s="1126"/>
      <c r="K465" s="687"/>
      <c r="N465" s="685"/>
      <c r="O465" s="687"/>
      <c r="Q465" s="1126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E466" s="1214"/>
      <c r="F466" s="1215"/>
      <c r="G466" s="1130"/>
      <c r="H466" s="1124"/>
      <c r="I466" s="1125"/>
      <c r="J466" s="1126"/>
      <c r="K466" s="687"/>
      <c r="N466" s="685"/>
      <c r="O466" s="687"/>
      <c r="Q466" s="1126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E467" s="1214"/>
      <c r="F467" s="1215"/>
      <c r="G467" s="1130"/>
      <c r="H467" s="1124"/>
      <c r="I467" s="1125"/>
      <c r="J467" s="1126"/>
      <c r="K467" s="687"/>
      <c r="N467" s="685"/>
      <c r="O467" s="687"/>
      <c r="Q467" s="1126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E468" s="1214"/>
      <c r="F468" s="1215"/>
      <c r="G468" s="1130"/>
      <c r="H468" s="1124"/>
      <c r="I468" s="1125"/>
      <c r="J468" s="1126"/>
      <c r="K468" s="687"/>
      <c r="N468" s="685"/>
      <c r="O468" s="687"/>
      <c r="Q468" s="1126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E469" s="1214"/>
      <c r="F469" s="1215"/>
      <c r="G469" s="1130"/>
      <c r="H469" s="1124"/>
      <c r="I469" s="1125"/>
      <c r="J469" s="1126"/>
      <c r="K469" s="687"/>
      <c r="N469" s="685"/>
      <c r="O469" s="687"/>
      <c r="Q469" s="1126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E470" s="1214"/>
      <c r="F470" s="1215"/>
      <c r="G470" s="1130"/>
      <c r="H470" s="1124"/>
      <c r="I470" s="1125"/>
      <c r="J470" s="1126"/>
      <c r="K470" s="687"/>
      <c r="N470" s="685"/>
      <c r="O470" s="687"/>
      <c r="Q470" s="1126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E471" s="1214"/>
      <c r="F471" s="1215"/>
      <c r="G471" s="1130"/>
      <c r="H471" s="1124"/>
      <c r="I471" s="1125"/>
      <c r="J471" s="1126"/>
      <c r="K471" s="687"/>
      <c r="N471" s="685"/>
      <c r="O471" s="687"/>
      <c r="Q471" s="1126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E472" s="1214"/>
      <c r="F472" s="1215"/>
      <c r="G472" s="1130"/>
      <c r="H472" s="1124"/>
      <c r="I472" s="1125"/>
      <c r="J472" s="1126"/>
      <c r="K472" s="687"/>
      <c r="N472" s="685"/>
      <c r="O472" s="687"/>
      <c r="Q472" s="1126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E473" s="1214"/>
      <c r="F473" s="1215"/>
      <c r="G473" s="1130"/>
      <c r="H473" s="1124"/>
      <c r="I473" s="1125"/>
      <c r="J473" s="1126"/>
      <c r="K473" s="687"/>
      <c r="N473" s="685"/>
      <c r="O473" s="687"/>
      <c r="Q473" s="1126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E474" s="1214"/>
      <c r="F474" s="1215"/>
      <c r="G474" s="1130"/>
      <c r="H474" s="1124"/>
      <c r="I474" s="1125"/>
      <c r="J474" s="1126"/>
      <c r="K474" s="687"/>
      <c r="N474" s="685"/>
      <c r="O474" s="687"/>
      <c r="Q474" s="1126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E475" s="1214"/>
      <c r="F475" s="1215"/>
      <c r="G475" s="1130"/>
      <c r="H475" s="1124"/>
      <c r="I475" s="1125"/>
      <c r="J475" s="1126"/>
      <c r="K475" s="687"/>
      <c r="N475" s="685"/>
      <c r="O475" s="687"/>
      <c r="Q475" s="1126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E476" s="1214"/>
      <c r="F476" s="1215"/>
      <c r="G476" s="1130"/>
      <c r="H476" s="1124"/>
      <c r="I476" s="1125"/>
      <c r="J476" s="1126"/>
      <c r="K476" s="687"/>
      <c r="N476" s="685"/>
      <c r="O476" s="687"/>
      <c r="Q476" s="1126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E477" s="1214"/>
      <c r="F477" s="1215"/>
      <c r="G477" s="1130"/>
      <c r="H477" s="1124"/>
      <c r="I477" s="1125"/>
      <c r="J477" s="1126"/>
      <c r="K477" s="687"/>
      <c r="N477" s="685"/>
      <c r="O477" s="687"/>
      <c r="Q477" s="1126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E478" s="1214"/>
      <c r="F478" s="1215"/>
      <c r="G478" s="1130"/>
      <c r="H478" s="1124"/>
      <c r="I478" s="1125"/>
      <c r="J478" s="1126"/>
      <c r="K478" s="687"/>
      <c r="N478" s="685"/>
      <c r="O478" s="687"/>
      <c r="Q478" s="1126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E479" s="1214"/>
      <c r="F479" s="1215"/>
      <c r="G479" s="1130"/>
      <c r="H479" s="1124"/>
      <c r="I479" s="1125"/>
      <c r="J479" s="1126"/>
      <c r="K479" s="687"/>
      <c r="N479" s="685"/>
      <c r="O479" s="687"/>
      <c r="Q479" s="1126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E480" s="1214"/>
      <c r="F480" s="1215"/>
      <c r="G480" s="1130"/>
      <c r="H480" s="1124"/>
      <c r="I480" s="1125"/>
      <c r="J480" s="1126"/>
      <c r="K480" s="687"/>
      <c r="N480" s="685"/>
      <c r="O480" s="687"/>
      <c r="Q480" s="1126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E481" s="1214"/>
      <c r="F481" s="1215"/>
      <c r="G481" s="1130"/>
      <c r="H481" s="1124"/>
      <c r="I481" s="1125"/>
      <c r="J481" s="1126"/>
      <c r="K481" s="687"/>
      <c r="N481" s="685"/>
      <c r="O481" s="687"/>
      <c r="Q481" s="1126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E482" s="1214"/>
      <c r="F482" s="1215"/>
      <c r="G482" s="1130"/>
      <c r="H482" s="1124"/>
      <c r="I482" s="1125"/>
      <c r="J482" s="1126"/>
      <c r="K482" s="687"/>
      <c r="N482" s="685"/>
      <c r="O482" s="687"/>
      <c r="Q482" s="1126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E483" s="1214"/>
      <c r="F483" s="1215"/>
      <c r="G483" s="1130"/>
      <c r="H483" s="1124"/>
      <c r="I483" s="1125"/>
      <c r="J483" s="1126"/>
      <c r="K483" s="687"/>
      <c r="N483" s="685"/>
      <c r="O483" s="687"/>
      <c r="Q483" s="1126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E484" s="1214"/>
      <c r="F484" s="1215"/>
      <c r="G484" s="1130"/>
      <c r="H484" s="1124"/>
      <c r="I484" s="1125"/>
      <c r="J484" s="1126"/>
      <c r="K484" s="687"/>
      <c r="N484" s="685"/>
      <c r="O484" s="687"/>
      <c r="Q484" s="1126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E485" s="1214"/>
      <c r="F485" s="1215"/>
      <c r="G485" s="1130"/>
      <c r="H485" s="1124"/>
      <c r="I485" s="1125"/>
      <c r="J485" s="1126"/>
      <c r="K485" s="687"/>
      <c r="N485" s="685"/>
      <c r="O485" s="687"/>
      <c r="Q485" s="1126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E486" s="1214"/>
      <c r="F486" s="1215"/>
      <c r="G486" s="1130"/>
      <c r="H486" s="1124"/>
      <c r="I486" s="1125"/>
      <c r="J486" s="1126"/>
      <c r="K486" s="687"/>
      <c r="N486" s="685"/>
      <c r="O486" s="687"/>
      <c r="Q486" s="1126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E487" s="1214"/>
      <c r="F487" s="1215"/>
      <c r="G487" s="1130"/>
      <c r="H487" s="1124"/>
      <c r="I487" s="1125"/>
      <c r="J487" s="1126"/>
      <c r="K487" s="687"/>
      <c r="N487" s="685"/>
      <c r="O487" s="687"/>
      <c r="Q487" s="1126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E488" s="1214"/>
      <c r="F488" s="1215"/>
      <c r="G488" s="1130"/>
      <c r="H488" s="1124"/>
      <c r="I488" s="1125"/>
      <c r="J488" s="1126"/>
      <c r="K488" s="687"/>
      <c r="N488" s="685"/>
      <c r="O488" s="687"/>
      <c r="Q488" s="1126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E489" s="1214"/>
      <c r="F489" s="1215"/>
      <c r="G489" s="1130"/>
      <c r="H489" s="1124"/>
      <c r="I489" s="1125"/>
      <c r="J489" s="1126"/>
      <c r="K489" s="687"/>
      <c r="N489" s="685"/>
      <c r="O489" s="687"/>
      <c r="Q489" s="1126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E490" s="1214"/>
      <c r="F490" s="1215"/>
      <c r="G490" s="1130"/>
      <c r="H490" s="1124"/>
      <c r="I490" s="1125"/>
      <c r="J490" s="1126"/>
      <c r="K490" s="687"/>
      <c r="N490" s="685"/>
      <c r="O490" s="687"/>
      <c r="Q490" s="1126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E491" s="1214"/>
      <c r="F491" s="1215"/>
      <c r="G491" s="1130"/>
      <c r="H491" s="1124"/>
      <c r="I491" s="1125"/>
      <c r="J491" s="1126"/>
      <c r="K491" s="687"/>
      <c r="N491" s="685"/>
      <c r="O491" s="687"/>
      <c r="Q491" s="1126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E492" s="1214"/>
      <c r="F492" s="1215"/>
      <c r="G492" s="1130"/>
      <c r="H492" s="1124"/>
      <c r="I492" s="1125"/>
      <c r="J492" s="1126"/>
      <c r="K492" s="687"/>
      <c r="N492" s="685"/>
      <c r="O492" s="687"/>
      <c r="Q492" s="1126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E493" s="1214"/>
      <c r="F493" s="1215"/>
      <c r="G493" s="1130"/>
      <c r="H493" s="1124"/>
      <c r="I493" s="1125"/>
      <c r="J493" s="1126"/>
      <c r="K493" s="687"/>
      <c r="N493" s="685"/>
      <c r="O493" s="687"/>
      <c r="Q493" s="1126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E494" s="1214"/>
      <c r="F494" s="1215"/>
      <c r="G494" s="1130"/>
      <c r="H494" s="1124"/>
      <c r="I494" s="1125"/>
      <c r="J494" s="1126"/>
      <c r="K494" s="687"/>
      <c r="N494" s="685"/>
      <c r="O494" s="687"/>
      <c r="Q494" s="1126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E495" s="1214"/>
      <c r="F495" s="1215"/>
      <c r="G495" s="1130"/>
      <c r="H495" s="1124"/>
      <c r="I495" s="1125"/>
      <c r="J495" s="1126"/>
      <c r="K495" s="687"/>
      <c r="N495" s="685"/>
      <c r="O495" s="687"/>
      <c r="Q495" s="1126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E496" s="1214"/>
      <c r="F496" s="1215"/>
      <c r="G496" s="1130"/>
      <c r="H496" s="1124"/>
      <c r="I496" s="1125"/>
      <c r="J496" s="1126"/>
      <c r="K496" s="687"/>
      <c r="N496" s="685"/>
      <c r="O496" s="687"/>
      <c r="Q496" s="1126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E497" s="1214"/>
      <c r="F497" s="1215"/>
      <c r="G497" s="1130"/>
      <c r="H497" s="1124"/>
      <c r="I497" s="1125"/>
      <c r="J497" s="1126"/>
      <c r="K497" s="687"/>
      <c r="N497" s="685"/>
      <c r="O497" s="687"/>
      <c r="Q497" s="1126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E498" s="1214"/>
      <c r="F498" s="1215"/>
      <c r="G498" s="1130"/>
      <c r="H498" s="1124"/>
      <c r="I498" s="1125"/>
      <c r="J498" s="1126"/>
      <c r="K498" s="687"/>
      <c r="N498" s="685"/>
      <c r="O498" s="687"/>
      <c r="Q498" s="1126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E499" s="1214"/>
      <c r="F499" s="1215"/>
      <c r="G499" s="1130"/>
      <c r="H499" s="1124"/>
      <c r="I499" s="1125"/>
      <c r="J499" s="1126"/>
      <c r="K499" s="687"/>
      <c r="N499" s="685"/>
      <c r="O499" s="687"/>
      <c r="Q499" s="1126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E500" s="1214"/>
      <c r="F500" s="1215"/>
      <c r="G500" s="1130"/>
      <c r="H500" s="1124"/>
      <c r="I500" s="1125"/>
      <c r="J500" s="1126"/>
      <c r="K500" s="687"/>
      <c r="N500" s="685"/>
      <c r="O500" s="687"/>
      <c r="Q500" s="1126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E501" s="1214"/>
      <c r="F501" s="1215"/>
      <c r="G501" s="1130"/>
      <c r="H501" s="1124"/>
      <c r="I501" s="1125"/>
      <c r="J501" s="1126"/>
      <c r="K501" s="687"/>
      <c r="N501" s="685"/>
      <c r="O501" s="687"/>
      <c r="Q501" s="1126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E502" s="1214"/>
      <c r="F502" s="1215"/>
      <c r="G502" s="1130"/>
      <c r="H502" s="1124"/>
      <c r="I502" s="1125"/>
      <c r="J502" s="1126"/>
      <c r="K502" s="687"/>
      <c r="N502" s="685"/>
      <c r="O502" s="687"/>
      <c r="Q502" s="1126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E503" s="1214"/>
      <c r="F503" s="1215"/>
      <c r="G503" s="1130"/>
      <c r="H503" s="1124"/>
      <c r="I503" s="1125"/>
      <c r="J503" s="1126"/>
      <c r="K503" s="687"/>
      <c r="N503" s="685"/>
      <c r="O503" s="687"/>
      <c r="Q503" s="1126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E504" s="1214"/>
      <c r="F504" s="1215"/>
      <c r="G504" s="1130"/>
      <c r="H504" s="1124"/>
      <c r="I504" s="1125"/>
      <c r="J504" s="1126"/>
      <c r="K504" s="687"/>
      <c r="N504" s="685"/>
      <c r="O504" s="687"/>
      <c r="Q504" s="1126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E505" s="1214"/>
      <c r="F505" s="1215"/>
      <c r="G505" s="1130"/>
      <c r="H505" s="1124"/>
      <c r="I505" s="1125"/>
      <c r="J505" s="1126"/>
      <c r="K505" s="687"/>
      <c r="N505" s="685"/>
      <c r="O505" s="687"/>
      <c r="Q505" s="1126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E506" s="1214"/>
      <c r="F506" s="1215"/>
      <c r="G506" s="1130"/>
      <c r="H506" s="1124"/>
      <c r="I506" s="1125"/>
      <c r="J506" s="1126"/>
      <c r="K506" s="687"/>
      <c r="N506" s="685"/>
      <c r="O506" s="687"/>
      <c r="Q506" s="1126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E507" s="1214"/>
      <c r="F507" s="1215"/>
      <c r="G507" s="1130"/>
      <c r="H507" s="1124"/>
      <c r="I507" s="1125"/>
      <c r="J507" s="1126"/>
      <c r="K507" s="687"/>
      <c r="N507" s="685"/>
      <c r="O507" s="687"/>
      <c r="Q507" s="1126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E508" s="1214"/>
      <c r="F508" s="1215"/>
      <c r="G508" s="1130"/>
      <c r="H508" s="1124"/>
      <c r="I508" s="1125"/>
      <c r="J508" s="1126"/>
      <c r="K508" s="687"/>
      <c r="N508" s="685"/>
      <c r="O508" s="687"/>
      <c r="Q508" s="1126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E509" s="1214"/>
      <c r="F509" s="1215"/>
      <c r="G509" s="1130"/>
      <c r="H509" s="1124"/>
      <c r="I509" s="1125"/>
      <c r="J509" s="1126"/>
      <c r="K509" s="687"/>
      <c r="N509" s="685"/>
      <c r="O509" s="687"/>
      <c r="Q509" s="1126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E510" s="1214"/>
      <c r="F510" s="1215"/>
      <c r="G510" s="1130"/>
      <c r="H510" s="1124"/>
      <c r="I510" s="1125"/>
      <c r="J510" s="1126"/>
      <c r="K510" s="687"/>
      <c r="N510" s="685"/>
      <c r="O510" s="687"/>
      <c r="Q510" s="1126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E511" s="1214"/>
      <c r="F511" s="1215"/>
      <c r="G511" s="1130"/>
      <c r="H511" s="1124"/>
      <c r="I511" s="1125"/>
      <c r="J511" s="1126"/>
      <c r="K511" s="687"/>
      <c r="N511" s="685"/>
      <c r="O511" s="687"/>
      <c r="Q511" s="1126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E512" s="1214"/>
      <c r="F512" s="1215"/>
      <c r="G512" s="1130"/>
      <c r="H512" s="1124"/>
      <c r="I512" s="1125"/>
      <c r="J512" s="1126"/>
      <c r="K512" s="687"/>
      <c r="N512" s="685"/>
      <c r="O512" s="687"/>
      <c r="Q512" s="1126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E513" s="1214"/>
      <c r="F513" s="1215"/>
      <c r="G513" s="1130"/>
      <c r="H513" s="1124"/>
      <c r="I513" s="1125"/>
      <c r="J513" s="1126"/>
      <c r="K513" s="687"/>
      <c r="N513" s="685"/>
      <c r="O513" s="687"/>
      <c r="Q513" s="1126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E514" s="1214"/>
      <c r="F514" s="1215"/>
      <c r="G514" s="1130"/>
      <c r="H514" s="1124"/>
      <c r="I514" s="1125"/>
      <c r="J514" s="1126"/>
      <c r="K514" s="687"/>
      <c r="N514" s="685"/>
      <c r="O514" s="687"/>
      <c r="Q514" s="1126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E515" s="1214"/>
      <c r="F515" s="1215"/>
      <c r="G515" s="1130"/>
      <c r="H515" s="1124"/>
      <c r="I515" s="1125"/>
      <c r="J515" s="1126"/>
      <c r="K515" s="687"/>
      <c r="N515" s="685"/>
      <c r="O515" s="687"/>
      <c r="Q515" s="1126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E516" s="1214"/>
      <c r="F516" s="1215"/>
      <c r="G516" s="1130"/>
      <c r="H516" s="1124"/>
      <c r="I516" s="1125"/>
      <c r="J516" s="1126"/>
      <c r="K516" s="687"/>
      <c r="N516" s="685"/>
      <c r="O516" s="687"/>
      <c r="Q516" s="1126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E517" s="1214"/>
      <c r="F517" s="1215"/>
      <c r="G517" s="1130"/>
      <c r="H517" s="1124"/>
      <c r="I517" s="1125"/>
      <c r="J517" s="1126"/>
      <c r="K517" s="687"/>
      <c r="N517" s="685"/>
      <c r="O517" s="687"/>
      <c r="Q517" s="1126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E518" s="1214"/>
      <c r="F518" s="1215"/>
      <c r="G518" s="1130"/>
      <c r="H518" s="1124"/>
      <c r="I518" s="1125"/>
      <c r="J518" s="1126"/>
      <c r="K518" s="687"/>
      <c r="N518" s="685"/>
      <c r="O518" s="687"/>
      <c r="Q518" s="1126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E519" s="1214"/>
      <c r="F519" s="1215"/>
      <c r="G519" s="1130"/>
      <c r="H519" s="1124"/>
      <c r="I519" s="1125"/>
      <c r="J519" s="1126"/>
      <c r="K519" s="687"/>
      <c r="N519" s="685"/>
      <c r="O519" s="687"/>
      <c r="Q519" s="1126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E520" s="1214"/>
      <c r="F520" s="1215"/>
      <c r="G520" s="1130"/>
      <c r="H520" s="1124"/>
      <c r="I520" s="1125"/>
      <c r="J520" s="1126"/>
      <c r="K520" s="687"/>
      <c r="N520" s="685"/>
      <c r="O520" s="687"/>
      <c r="Q520" s="1126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E521" s="1214"/>
      <c r="F521" s="1215"/>
      <c r="G521" s="1130"/>
      <c r="H521" s="1124"/>
      <c r="I521" s="1125"/>
      <c r="J521" s="1126"/>
      <c r="K521" s="687"/>
      <c r="N521" s="685"/>
      <c r="O521" s="687"/>
      <c r="Q521" s="1126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E522" s="1214"/>
      <c r="F522" s="1215"/>
      <c r="G522" s="1130"/>
      <c r="H522" s="1124"/>
      <c r="I522" s="1125"/>
      <c r="J522" s="1126"/>
      <c r="K522" s="687"/>
      <c r="N522" s="685"/>
      <c r="O522" s="687"/>
      <c r="Q522" s="1126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E523" s="1214"/>
      <c r="F523" s="1215"/>
      <c r="G523" s="1130"/>
      <c r="H523" s="1124"/>
      <c r="I523" s="1125"/>
      <c r="J523" s="1126"/>
      <c r="K523" s="687"/>
      <c r="N523" s="685"/>
      <c r="O523" s="687"/>
      <c r="Q523" s="1126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E524" s="1214"/>
      <c r="F524" s="1215"/>
      <c r="G524" s="1130"/>
      <c r="H524" s="1124"/>
      <c r="I524" s="1125"/>
      <c r="J524" s="1126"/>
      <c r="K524" s="687"/>
      <c r="N524" s="685"/>
      <c r="O524" s="687"/>
      <c r="Q524" s="1126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E525" s="1214"/>
      <c r="F525" s="1215"/>
      <c r="G525" s="1130"/>
      <c r="H525" s="1124"/>
      <c r="I525" s="1125"/>
      <c r="J525" s="1126"/>
      <c r="K525" s="687"/>
      <c r="N525" s="685"/>
      <c r="O525" s="687"/>
      <c r="Q525" s="1126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E526" s="1214"/>
      <c r="F526" s="1215"/>
      <c r="G526" s="1130"/>
      <c r="H526" s="1124"/>
      <c r="I526" s="1125"/>
      <c r="J526" s="1126"/>
      <c r="K526" s="687"/>
      <c r="N526" s="685"/>
      <c r="O526" s="687"/>
      <c r="Q526" s="1126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E527" s="1214"/>
      <c r="F527" s="1215"/>
      <c r="G527" s="1130"/>
      <c r="H527" s="1124"/>
      <c r="I527" s="1125"/>
      <c r="J527" s="1126"/>
      <c r="K527" s="687"/>
      <c r="N527" s="685"/>
      <c r="O527" s="687"/>
      <c r="Q527" s="1126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E528" s="1214"/>
      <c r="F528" s="1215"/>
      <c r="G528" s="1130"/>
      <c r="H528" s="1124"/>
      <c r="I528" s="1125"/>
      <c r="J528" s="1126"/>
      <c r="K528" s="687"/>
      <c r="N528" s="685"/>
      <c r="O528" s="687"/>
      <c r="Q528" s="1126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E529" s="1214"/>
      <c r="F529" s="1215"/>
      <c r="G529" s="1130"/>
      <c r="H529" s="1124"/>
      <c r="I529" s="1125"/>
      <c r="J529" s="1126"/>
      <c r="K529" s="687"/>
      <c r="N529" s="685"/>
      <c r="O529" s="687"/>
      <c r="Q529" s="1126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E530" s="1214"/>
      <c r="F530" s="1215"/>
      <c r="G530" s="1130"/>
      <c r="H530" s="1124"/>
      <c r="I530" s="1125"/>
      <c r="J530" s="1126"/>
      <c r="K530" s="687"/>
      <c r="N530" s="685"/>
      <c r="O530" s="687"/>
      <c r="Q530" s="1126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E531" s="1214"/>
      <c r="F531" s="1215"/>
      <c r="G531" s="1130"/>
      <c r="H531" s="1124"/>
      <c r="I531" s="1125"/>
      <c r="J531" s="1126"/>
      <c r="K531" s="687"/>
      <c r="N531" s="685"/>
      <c r="O531" s="687"/>
      <c r="Q531" s="1126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E532" s="1214"/>
      <c r="F532" s="1215"/>
      <c r="G532" s="1130"/>
      <c r="H532" s="1124"/>
      <c r="I532" s="1125"/>
      <c r="J532" s="1126"/>
      <c r="K532" s="687"/>
      <c r="N532" s="685"/>
      <c r="O532" s="687"/>
      <c r="Q532" s="1126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E533" s="1214"/>
      <c r="F533" s="1215"/>
      <c r="G533" s="1130"/>
      <c r="H533" s="1124"/>
      <c r="I533" s="1125"/>
      <c r="J533" s="1126"/>
      <c r="K533" s="687"/>
      <c r="N533" s="685"/>
      <c r="O533" s="687"/>
      <c r="Q533" s="1126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E534" s="1214"/>
      <c r="F534" s="1215"/>
      <c r="G534" s="1130"/>
      <c r="H534" s="1124"/>
      <c r="I534" s="1125"/>
      <c r="J534" s="1126"/>
      <c r="K534" s="687"/>
      <c r="N534" s="685"/>
      <c r="O534" s="687"/>
      <c r="Q534" s="1126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E535" s="1214"/>
      <c r="F535" s="1215"/>
      <c r="G535" s="1130"/>
      <c r="H535" s="1124"/>
      <c r="I535" s="1125"/>
      <c r="J535" s="1126"/>
      <c r="K535" s="687"/>
      <c r="N535" s="685"/>
      <c r="O535" s="687"/>
      <c r="Q535" s="1126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E536" s="1214"/>
      <c r="F536" s="1215"/>
      <c r="G536" s="1130"/>
      <c r="H536" s="1124"/>
      <c r="I536" s="1125"/>
      <c r="J536" s="1126"/>
      <c r="K536" s="687"/>
      <c r="N536" s="685"/>
      <c r="O536" s="687"/>
      <c r="Q536" s="1126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E537" s="1214"/>
      <c r="F537" s="1215"/>
      <c r="G537" s="1130"/>
      <c r="H537" s="1124"/>
      <c r="I537" s="1125"/>
      <c r="J537" s="1126"/>
      <c r="K537" s="687"/>
      <c r="N537" s="685"/>
      <c r="O537" s="687"/>
      <c r="Q537" s="1126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E538" s="1214"/>
      <c r="F538" s="1215"/>
      <c r="G538" s="1130"/>
      <c r="H538" s="1124"/>
      <c r="I538" s="1125"/>
      <c r="J538" s="1126"/>
      <c r="K538" s="687"/>
      <c r="N538" s="685"/>
      <c r="O538" s="687"/>
      <c r="Q538" s="1126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E539" s="1214"/>
      <c r="F539" s="1215"/>
      <c r="G539" s="1130"/>
      <c r="H539" s="1124"/>
      <c r="I539" s="1125"/>
      <c r="J539" s="1126"/>
      <c r="K539" s="687"/>
      <c r="N539" s="685"/>
      <c r="O539" s="687"/>
      <c r="Q539" s="1126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E540" s="1214"/>
      <c r="F540" s="1215"/>
      <c r="G540" s="1130"/>
      <c r="H540" s="1124"/>
      <c r="I540" s="1125"/>
      <c r="J540" s="1126"/>
      <c r="K540" s="687"/>
      <c r="N540" s="685"/>
      <c r="O540" s="687"/>
      <c r="Q540" s="1126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E541" s="1214"/>
      <c r="F541" s="1215"/>
      <c r="G541" s="1130"/>
      <c r="H541" s="1124"/>
      <c r="I541" s="1125"/>
      <c r="J541" s="1126"/>
      <c r="K541" s="687"/>
      <c r="N541" s="685"/>
      <c r="O541" s="687"/>
      <c r="Q541" s="1126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E542" s="1214"/>
      <c r="F542" s="1215"/>
      <c r="G542" s="1130"/>
      <c r="H542" s="1124"/>
      <c r="I542" s="1125"/>
      <c r="J542" s="1126"/>
      <c r="K542" s="687"/>
      <c r="N542" s="685"/>
      <c r="O542" s="687"/>
      <c r="Q542" s="1126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E543" s="1214"/>
      <c r="F543" s="1215"/>
      <c r="G543" s="1130"/>
      <c r="H543" s="1124"/>
      <c r="I543" s="1125"/>
      <c r="J543" s="1126"/>
      <c r="K543" s="687"/>
      <c r="N543" s="685"/>
      <c r="O543" s="687"/>
      <c r="Q543" s="1126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E544" s="1214"/>
      <c r="F544" s="1215"/>
      <c r="G544" s="1130"/>
      <c r="H544" s="1124"/>
      <c r="I544" s="1125"/>
      <c r="J544" s="1126"/>
      <c r="K544" s="687"/>
      <c r="N544" s="685"/>
      <c r="O544" s="687"/>
      <c r="Q544" s="1126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E545" s="1214"/>
      <c r="F545" s="1215"/>
      <c r="G545" s="1130"/>
      <c r="H545" s="1124"/>
      <c r="I545" s="1125"/>
      <c r="J545" s="1126"/>
      <c r="K545" s="687"/>
      <c r="N545" s="685"/>
      <c r="O545" s="687"/>
      <c r="Q545" s="1126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E546" s="1214"/>
      <c r="F546" s="1215"/>
      <c r="G546" s="1130"/>
      <c r="H546" s="1124"/>
      <c r="I546" s="1125"/>
      <c r="J546" s="1126"/>
      <c r="K546" s="687"/>
      <c r="N546" s="685"/>
      <c r="O546" s="687"/>
      <c r="Q546" s="1126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E547" s="1214"/>
      <c r="F547" s="1215"/>
      <c r="G547" s="1130"/>
      <c r="H547" s="1124"/>
      <c r="I547" s="1125"/>
      <c r="J547" s="1126"/>
      <c r="K547" s="687"/>
      <c r="N547" s="685"/>
      <c r="O547" s="687"/>
      <c r="Q547" s="1126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E548" s="1214"/>
      <c r="F548" s="1215"/>
      <c r="G548" s="1130"/>
      <c r="H548" s="1124"/>
      <c r="I548" s="1125"/>
      <c r="J548" s="1126"/>
      <c r="K548" s="687"/>
      <c r="N548" s="685"/>
      <c r="O548" s="687"/>
      <c r="Q548" s="1126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E549" s="1214"/>
      <c r="F549" s="1215"/>
      <c r="G549" s="1130"/>
      <c r="H549" s="1124"/>
      <c r="I549" s="1125"/>
      <c r="J549" s="1126"/>
      <c r="K549" s="687"/>
      <c r="N549" s="685"/>
      <c r="O549" s="687"/>
      <c r="Q549" s="1126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E550" s="1214"/>
      <c r="F550" s="1215"/>
      <c r="G550" s="1130"/>
      <c r="H550" s="1124"/>
      <c r="I550" s="1125"/>
      <c r="J550" s="1126"/>
      <c r="K550" s="687"/>
      <c r="N550" s="685"/>
      <c r="O550" s="687"/>
      <c r="Q550" s="1126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E551" s="1214"/>
      <c r="F551" s="1215"/>
      <c r="G551" s="1130"/>
      <c r="H551" s="1124"/>
      <c r="I551" s="1125"/>
      <c r="J551" s="1126"/>
      <c r="K551" s="687"/>
      <c r="N551" s="685"/>
      <c r="O551" s="687"/>
      <c r="Q551" s="1126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E552" s="1214"/>
      <c r="F552" s="1215"/>
      <c r="G552" s="1130"/>
      <c r="H552" s="1124"/>
      <c r="I552" s="1125"/>
      <c r="J552" s="1126"/>
      <c r="K552" s="687"/>
      <c r="N552" s="685"/>
      <c r="O552" s="687"/>
      <c r="Q552" s="1126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E553" s="1214"/>
      <c r="F553" s="1215"/>
      <c r="G553" s="1130"/>
      <c r="H553" s="1124"/>
      <c r="I553" s="1125"/>
      <c r="J553" s="1126"/>
      <c r="K553" s="687"/>
      <c r="N553" s="685"/>
      <c r="O553" s="687"/>
      <c r="Q553" s="1126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E554" s="1214"/>
      <c r="F554" s="1215"/>
      <c r="G554" s="1130"/>
      <c r="H554" s="1124"/>
      <c r="I554" s="1125"/>
      <c r="J554" s="1126"/>
      <c r="K554" s="687"/>
      <c r="N554" s="685"/>
      <c r="O554" s="687"/>
      <c r="Q554" s="1126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E555" s="1214"/>
      <c r="F555" s="1215"/>
      <c r="G555" s="1130"/>
      <c r="H555" s="1124"/>
      <c r="I555" s="1125"/>
      <c r="J555" s="1126"/>
      <c r="K555" s="687"/>
      <c r="N555" s="685"/>
      <c r="O555" s="687"/>
      <c r="Q555" s="1126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E556" s="1214"/>
      <c r="F556" s="1215"/>
      <c r="G556" s="1130"/>
      <c r="H556" s="1124"/>
      <c r="I556" s="1125"/>
      <c r="J556" s="1126"/>
      <c r="K556" s="687"/>
      <c r="N556" s="685"/>
      <c r="O556" s="687"/>
      <c r="Q556" s="1126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E557" s="1214"/>
      <c r="F557" s="1215"/>
      <c r="G557" s="1130"/>
      <c r="H557" s="1124"/>
      <c r="I557" s="1125"/>
      <c r="J557" s="1126"/>
      <c r="K557" s="687"/>
      <c r="N557" s="685"/>
      <c r="O557" s="687"/>
      <c r="Q557" s="1126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E558" s="1214"/>
      <c r="F558" s="1215"/>
      <c r="G558" s="1130"/>
      <c r="H558" s="1124"/>
      <c r="I558" s="1125"/>
      <c r="J558" s="1126"/>
      <c r="K558" s="687"/>
      <c r="N558" s="685"/>
      <c r="O558" s="687"/>
      <c r="Q558" s="1126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E559" s="1214"/>
      <c r="F559" s="1215"/>
      <c r="G559" s="1130"/>
      <c r="H559" s="1124"/>
      <c r="I559" s="1125"/>
      <c r="J559" s="1126"/>
      <c r="K559" s="687"/>
      <c r="N559" s="685"/>
      <c r="O559" s="687"/>
      <c r="Q559" s="1126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E560" s="1214"/>
      <c r="F560" s="1215"/>
      <c r="G560" s="1130"/>
      <c r="H560" s="1124"/>
      <c r="I560" s="1125"/>
      <c r="J560" s="1126"/>
      <c r="K560" s="687"/>
      <c r="N560" s="685"/>
      <c r="O560" s="687"/>
      <c r="Q560" s="1126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E561" s="1214"/>
      <c r="F561" s="1215"/>
      <c r="G561" s="1130"/>
      <c r="H561" s="1124"/>
      <c r="I561" s="1125"/>
      <c r="J561" s="1126"/>
      <c r="K561" s="687"/>
      <c r="N561" s="685"/>
      <c r="O561" s="687"/>
      <c r="Q561" s="1126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E562" s="1214"/>
      <c r="F562" s="1215"/>
      <c r="G562" s="1130"/>
      <c r="H562" s="1124"/>
      <c r="I562" s="1125"/>
      <c r="J562" s="1126"/>
      <c r="K562" s="687"/>
      <c r="N562" s="685"/>
      <c r="O562" s="687"/>
      <c r="Q562" s="1126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E563" s="1214"/>
      <c r="F563" s="1215"/>
      <c r="G563" s="1130"/>
      <c r="H563" s="1124"/>
      <c r="I563" s="1125"/>
      <c r="J563" s="1126"/>
      <c r="K563" s="687"/>
      <c r="N563" s="685"/>
      <c r="O563" s="687"/>
      <c r="Q563" s="1126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E564" s="1214"/>
      <c r="F564" s="1215"/>
      <c r="G564" s="1130"/>
      <c r="H564" s="1124"/>
      <c r="I564" s="1125"/>
      <c r="J564" s="1126"/>
      <c r="K564" s="687"/>
      <c r="N564" s="685"/>
      <c r="O564" s="687"/>
      <c r="Q564" s="1126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E565" s="1214"/>
      <c r="F565" s="1215"/>
      <c r="G565" s="1130"/>
      <c r="H565" s="1124"/>
      <c r="I565" s="1125"/>
      <c r="J565" s="1126"/>
      <c r="K565" s="687"/>
      <c r="N565" s="685"/>
      <c r="O565" s="687"/>
      <c r="Q565" s="1126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E566" s="1214"/>
      <c r="F566" s="1215"/>
      <c r="G566" s="1130"/>
      <c r="H566" s="1124"/>
      <c r="I566" s="1125"/>
      <c r="J566" s="1126"/>
      <c r="K566" s="687"/>
      <c r="N566" s="685"/>
      <c r="O566" s="687"/>
      <c r="Q566" s="1126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E567" s="1214"/>
      <c r="F567" s="1215"/>
      <c r="G567" s="1130"/>
      <c r="H567" s="1124"/>
      <c r="I567" s="1125"/>
      <c r="J567" s="1126"/>
      <c r="K567" s="687"/>
      <c r="N567" s="685"/>
      <c r="O567" s="687"/>
      <c r="Q567" s="1126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E568" s="1214"/>
      <c r="F568" s="1215"/>
      <c r="G568" s="1130"/>
      <c r="H568" s="1124"/>
      <c r="I568" s="1125"/>
      <c r="J568" s="1126"/>
      <c r="K568" s="687"/>
      <c r="N568" s="685"/>
      <c r="O568" s="687"/>
      <c r="Q568" s="1126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E569" s="1214"/>
      <c r="F569" s="1215"/>
      <c r="G569" s="1130"/>
      <c r="H569" s="1124"/>
      <c r="I569" s="1125"/>
      <c r="J569" s="1126"/>
      <c r="K569" s="687"/>
      <c r="N569" s="685"/>
      <c r="O569" s="687"/>
      <c r="Q569" s="1126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G570" s="1130"/>
      <c r="H570" s="1124"/>
      <c r="I570" s="1125"/>
      <c r="J570" s="1126"/>
      <c r="K570" s="687"/>
      <c r="N570" s="685"/>
      <c r="O570" s="687"/>
      <c r="Q570" s="1126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G571" s="1130"/>
      <c r="H571" s="1124"/>
      <c r="I571" s="1125"/>
      <c r="J571" s="1126"/>
      <c r="K571" s="687"/>
      <c r="N571" s="685"/>
      <c r="O571" s="687"/>
      <c r="Q571" s="1126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G572" s="1130"/>
      <c r="H572" s="1124"/>
      <c r="I572" s="1125"/>
      <c r="J572" s="1126"/>
      <c r="K572" s="687"/>
      <c r="N572" s="685"/>
      <c r="O572" s="687"/>
      <c r="Q572" s="1126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G573" s="1130"/>
      <c r="H573" s="1124"/>
      <c r="I573" s="1125"/>
      <c r="J573" s="1126"/>
      <c r="K573" s="687"/>
      <c r="N573" s="685"/>
      <c r="O573" s="687"/>
      <c r="Q573" s="1126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G574" s="1130"/>
      <c r="H574" s="1124"/>
      <c r="I574" s="1125"/>
      <c r="J574" s="1126"/>
      <c r="K574" s="687"/>
      <c r="N574" s="685"/>
      <c r="O574" s="687"/>
      <c r="Q574" s="1126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G575" s="1130"/>
      <c r="H575" s="1124"/>
      <c r="I575" s="1125"/>
      <c r="J575" s="1126"/>
      <c r="K575" s="687"/>
      <c r="N575" s="685"/>
      <c r="O575" s="687"/>
      <c r="Q575" s="1126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G576" s="1130"/>
      <c r="H576" s="1124"/>
      <c r="I576" s="1125"/>
      <c r="J576" s="1126"/>
      <c r="K576" s="687"/>
      <c r="N576" s="685"/>
      <c r="O576" s="687"/>
      <c r="Q576" s="1126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G577" s="1130"/>
      <c r="H577" s="1124"/>
      <c r="I577" s="1125"/>
      <c r="J577" s="1126"/>
      <c r="K577" s="687"/>
      <c r="N577" s="685"/>
      <c r="O577" s="687"/>
      <c r="Q577" s="1126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G578" s="1130"/>
      <c r="H578" s="1124"/>
      <c r="I578" s="1125"/>
      <c r="J578" s="1126"/>
      <c r="K578" s="687"/>
      <c r="N578" s="685"/>
      <c r="O578" s="687"/>
      <c r="Q578" s="1126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G579" s="1130"/>
      <c r="H579" s="1124"/>
      <c r="I579" s="1125"/>
      <c r="J579" s="1126"/>
      <c r="K579" s="687"/>
      <c r="N579" s="685"/>
      <c r="O579" s="687"/>
      <c r="Q579" s="1126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G580" s="1130"/>
      <c r="H580" s="1124"/>
      <c r="I580" s="1125"/>
      <c r="J580" s="1126"/>
      <c r="K580" s="687"/>
      <c r="N580" s="685"/>
      <c r="O580" s="687"/>
      <c r="Q580" s="1126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G581" s="1130"/>
      <c r="H581" s="1124"/>
      <c r="I581" s="1125"/>
      <c r="J581" s="1126"/>
      <c r="K581" s="687"/>
      <c r="N581" s="685"/>
      <c r="O581" s="687"/>
      <c r="Q581" s="1126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G582" s="1130"/>
      <c r="H582" s="1124"/>
      <c r="I582" s="1125"/>
      <c r="J582" s="1126"/>
      <c r="K582" s="687"/>
      <c r="N582" s="685"/>
      <c r="O582" s="687"/>
      <c r="Q582" s="1126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G583" s="1130"/>
      <c r="H583" s="1124"/>
      <c r="I583" s="1125"/>
      <c r="J583" s="1126"/>
      <c r="K583" s="687"/>
      <c r="N583" s="685"/>
      <c r="O583" s="687"/>
      <c r="Q583" s="1126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G584" s="1130"/>
      <c r="H584" s="1124"/>
      <c r="I584" s="1125"/>
      <c r="J584" s="1126"/>
      <c r="K584" s="687"/>
      <c r="N584" s="685"/>
      <c r="O584" s="687"/>
      <c r="Q584" s="1126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G585" s="1130"/>
      <c r="H585" s="1124"/>
      <c r="I585" s="1125"/>
      <c r="J585" s="1126"/>
      <c r="K585" s="687"/>
      <c r="N585" s="685"/>
      <c r="O585" s="687"/>
      <c r="Q585" s="1126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G586" s="1130"/>
      <c r="H586" s="1124"/>
      <c r="I586" s="1125"/>
      <c r="J586" s="1126"/>
      <c r="K586" s="687"/>
      <c r="N586" s="685"/>
      <c r="O586" s="687"/>
      <c r="Q586" s="1126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G587" s="1130"/>
      <c r="H587" s="1124"/>
      <c r="I587" s="1125"/>
      <c r="J587" s="1126"/>
      <c r="K587" s="687"/>
      <c r="N587" s="685"/>
      <c r="O587" s="687"/>
      <c r="Q587" s="1126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G588" s="1130"/>
      <c r="H588" s="1124"/>
      <c r="I588" s="1125"/>
      <c r="J588" s="1126"/>
      <c r="K588" s="687"/>
      <c r="N588" s="685"/>
      <c r="O588" s="687"/>
      <c r="Q588" s="1126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G589" s="1130"/>
      <c r="H589" s="1124"/>
      <c r="I589" s="1125"/>
      <c r="J589" s="1126"/>
      <c r="K589" s="687"/>
      <c r="N589" s="685"/>
      <c r="O589" s="687"/>
      <c r="Q589" s="1126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G590" s="1130"/>
      <c r="H590" s="1124"/>
      <c r="I590" s="1125"/>
      <c r="J590" s="1126"/>
      <c r="K590" s="687"/>
      <c r="N590" s="685"/>
      <c r="O590" s="687"/>
      <c r="Q590" s="1126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G591" s="1130"/>
      <c r="H591" s="1124"/>
      <c r="I591" s="1125"/>
      <c r="J591" s="1126"/>
      <c r="K591" s="687"/>
      <c r="N591" s="685"/>
      <c r="O591" s="687"/>
      <c r="Q591" s="1126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G592" s="1130"/>
      <c r="H592" s="1124"/>
      <c r="I592" s="1125"/>
      <c r="J592" s="1126"/>
      <c r="K592" s="687"/>
      <c r="N592" s="685"/>
      <c r="O592" s="687"/>
      <c r="Q592" s="1126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G593" s="1130"/>
      <c r="H593" s="1124"/>
      <c r="I593" s="1125"/>
      <c r="J593" s="1126"/>
      <c r="K593" s="687"/>
      <c r="N593" s="685"/>
      <c r="O593" s="687"/>
      <c r="Q593" s="1126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G594" s="1130"/>
      <c r="H594" s="1124"/>
      <c r="I594" s="1125"/>
      <c r="J594" s="1126"/>
      <c r="K594" s="687"/>
      <c r="N594" s="685"/>
      <c r="O594" s="687"/>
      <c r="Q594" s="1126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G595" s="1130"/>
      <c r="H595" s="1124"/>
      <c r="I595" s="1125"/>
      <c r="J595" s="1126"/>
      <c r="K595" s="687"/>
      <c r="N595" s="685"/>
      <c r="O595" s="687"/>
      <c r="Q595" s="1126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G596" s="1130"/>
      <c r="H596" s="1124"/>
      <c r="I596" s="1125"/>
      <c r="J596" s="1126"/>
      <c r="K596" s="687"/>
      <c r="N596" s="685"/>
      <c r="O596" s="687"/>
      <c r="Q596" s="1126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G597" s="1130"/>
      <c r="H597" s="1124"/>
      <c r="I597" s="1125"/>
      <c r="J597" s="1126"/>
      <c r="K597" s="687"/>
      <c r="N597" s="685"/>
      <c r="O597" s="687"/>
      <c r="Q597" s="1126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G598" s="1130"/>
      <c r="H598" s="1124"/>
      <c r="I598" s="1125"/>
      <c r="J598" s="1126"/>
      <c r="K598" s="687"/>
      <c r="N598" s="685"/>
      <c r="O598" s="687"/>
      <c r="Q598" s="1126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G599" s="1130"/>
      <c r="H599" s="1124"/>
      <c r="I599" s="1125"/>
      <c r="J599" s="1126"/>
      <c r="K599" s="687"/>
      <c r="N599" s="685"/>
      <c r="O599" s="687"/>
      <c r="Q599" s="1126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G600" s="1130"/>
      <c r="H600" s="1124"/>
      <c r="I600" s="1125"/>
      <c r="J600" s="1126"/>
      <c r="K600" s="687"/>
      <c r="N600" s="685"/>
      <c r="O600" s="687"/>
      <c r="Q600" s="1126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G601" s="1130"/>
      <c r="H601" s="1124"/>
      <c r="I601" s="1125"/>
      <c r="J601" s="1126"/>
      <c r="K601" s="687"/>
      <c r="N601" s="685"/>
      <c r="O601" s="687"/>
      <c r="Q601" s="1126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G602" s="1130"/>
      <c r="H602" s="1124"/>
      <c r="I602" s="1125"/>
      <c r="J602" s="1126"/>
      <c r="K602" s="687"/>
      <c r="N602" s="685"/>
      <c r="O602" s="687"/>
      <c r="Q602" s="1126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G603" s="1130"/>
      <c r="H603" s="1124"/>
      <c r="I603" s="1125"/>
      <c r="J603" s="1126"/>
      <c r="K603" s="687"/>
      <c r="N603" s="685"/>
      <c r="O603" s="687"/>
      <c r="Q603" s="1126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G604" s="1130"/>
      <c r="H604" s="1124"/>
      <c r="I604" s="1125"/>
      <c r="J604" s="1126"/>
      <c r="K604" s="687"/>
      <c r="N604" s="685"/>
      <c r="O604" s="687"/>
      <c r="Q604" s="1126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G605" s="1130"/>
      <c r="H605" s="1124"/>
      <c r="I605" s="1125"/>
      <c r="J605" s="1126"/>
      <c r="K605" s="687"/>
      <c r="N605" s="685"/>
      <c r="O605" s="687"/>
      <c r="Q605" s="1126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G606" s="1130"/>
      <c r="H606" s="1124"/>
      <c r="I606" s="1125"/>
      <c r="J606" s="1126"/>
      <c r="K606" s="687"/>
      <c r="N606" s="685"/>
      <c r="O606" s="687"/>
      <c r="Q606" s="1126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G607" s="1130"/>
      <c r="H607" s="1124"/>
      <c r="I607" s="1125"/>
      <c r="J607" s="1126"/>
      <c r="K607" s="687"/>
      <c r="N607" s="685"/>
      <c r="O607" s="687"/>
      <c r="Q607" s="1126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G608" s="1130"/>
      <c r="H608" s="1124"/>
      <c r="I608" s="1125"/>
      <c r="J608" s="1126"/>
      <c r="K608" s="687"/>
      <c r="N608" s="685"/>
      <c r="O608" s="687"/>
      <c r="Q608" s="1126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G609" s="1130"/>
      <c r="H609" s="1124"/>
      <c r="I609" s="1125"/>
      <c r="J609" s="1126"/>
      <c r="K609" s="687"/>
      <c r="N609" s="685"/>
      <c r="O609" s="687"/>
      <c r="Q609" s="1126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G610" s="1130"/>
      <c r="H610" s="1124"/>
      <c r="I610" s="1125"/>
      <c r="J610" s="1126"/>
      <c r="K610" s="687"/>
      <c r="N610" s="685"/>
      <c r="O610" s="687"/>
      <c r="Q610" s="1126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G611" s="1130"/>
      <c r="H611" s="1124"/>
      <c r="I611" s="1125"/>
      <c r="J611" s="1126"/>
      <c r="K611" s="687"/>
      <c r="N611" s="685"/>
      <c r="O611" s="687"/>
      <c r="Q611" s="1126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G612" s="1130"/>
      <c r="H612" s="1124"/>
      <c r="I612" s="1125"/>
      <c r="J612" s="1126"/>
      <c r="K612" s="687"/>
      <c r="N612" s="685"/>
      <c r="O612" s="687"/>
      <c r="Q612" s="1126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G613" s="1130"/>
      <c r="H613" s="1124"/>
      <c r="I613" s="1125"/>
      <c r="J613" s="1126"/>
      <c r="K613" s="687"/>
      <c r="N613" s="685"/>
      <c r="O613" s="687"/>
      <c r="Q613" s="1126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G614" s="1130"/>
      <c r="H614" s="1124"/>
      <c r="I614" s="1125"/>
      <c r="J614" s="1126"/>
      <c r="K614" s="687"/>
      <c r="N614" s="685"/>
      <c r="O614" s="687"/>
      <c r="Q614" s="1126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G615" s="1130"/>
      <c r="H615" s="1124"/>
      <c r="I615" s="1125"/>
      <c r="J615" s="1126"/>
      <c r="K615" s="687"/>
      <c r="N615" s="685"/>
      <c r="O615" s="687"/>
      <c r="Q615" s="1126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G616" s="1130"/>
      <c r="H616" s="1124"/>
      <c r="I616" s="1125"/>
      <c r="J616" s="1126"/>
      <c r="K616" s="687"/>
      <c r="N616" s="685"/>
      <c r="O616" s="687"/>
      <c r="Q616" s="1126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G617" s="1130"/>
      <c r="H617" s="1124"/>
      <c r="I617" s="1125"/>
      <c r="J617" s="1126"/>
      <c r="K617" s="687"/>
      <c r="N617" s="685"/>
      <c r="O617" s="687"/>
      <c r="Q617" s="1126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G618" s="1130"/>
      <c r="H618" s="1124"/>
      <c r="I618" s="1125"/>
      <c r="J618" s="1126"/>
      <c r="K618" s="687"/>
      <c r="N618" s="685"/>
      <c r="O618" s="687"/>
      <c r="Q618" s="1126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G619" s="1130"/>
      <c r="H619" s="1124"/>
      <c r="I619" s="1125"/>
      <c r="J619" s="1126"/>
      <c r="K619" s="687"/>
      <c r="N619" s="685"/>
      <c r="O619" s="687"/>
      <c r="Q619" s="1126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G620" s="1130"/>
      <c r="H620" s="1124"/>
      <c r="I620" s="1125"/>
      <c r="J620" s="1126"/>
      <c r="K620" s="687"/>
      <c r="N620" s="685"/>
      <c r="O620" s="687"/>
      <c r="Q620" s="1126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G621" s="1130"/>
      <c r="H621" s="1124"/>
      <c r="I621" s="1125"/>
      <c r="J621" s="1126"/>
      <c r="K621" s="687"/>
      <c r="N621" s="685"/>
      <c r="O621" s="687"/>
      <c r="Q621" s="1126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G622" s="1130"/>
      <c r="H622" s="1124"/>
      <c r="I622" s="1125"/>
      <c r="J622" s="1126"/>
      <c r="K622" s="687"/>
      <c r="N622" s="685"/>
      <c r="O622" s="687"/>
      <c r="Q622" s="1126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G623" s="1130"/>
      <c r="H623" s="1124"/>
      <c r="I623" s="1125"/>
      <c r="J623" s="1126"/>
      <c r="K623" s="687"/>
      <c r="N623" s="685"/>
      <c r="O623" s="687"/>
      <c r="Q623" s="1126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G624" s="1130"/>
      <c r="H624" s="1124"/>
      <c r="I624" s="1125"/>
      <c r="J624" s="1126"/>
      <c r="K624" s="687"/>
      <c r="N624" s="685"/>
      <c r="O624" s="687"/>
      <c r="Q624" s="1126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G625" s="1130"/>
      <c r="H625" s="1124"/>
      <c r="I625" s="1125"/>
      <c r="J625" s="1126"/>
      <c r="K625" s="687"/>
      <c r="N625" s="685"/>
      <c r="O625" s="687"/>
      <c r="Q625" s="1126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G626" s="1130"/>
      <c r="H626" s="1124"/>
      <c r="I626" s="1125"/>
      <c r="J626" s="1126"/>
      <c r="K626" s="687"/>
      <c r="N626" s="685"/>
      <c r="O626" s="687"/>
      <c r="Q626" s="1126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G627" s="1130"/>
      <c r="H627" s="1124"/>
      <c r="I627" s="1125"/>
      <c r="J627" s="1126"/>
      <c r="K627" s="687"/>
      <c r="N627" s="685"/>
      <c r="O627" s="687"/>
      <c r="Q627" s="1126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G628" s="1130"/>
      <c r="H628" s="1124"/>
      <c r="I628" s="1125"/>
      <c r="J628" s="1126"/>
      <c r="K628" s="687"/>
      <c r="N628" s="685"/>
      <c r="O628" s="687"/>
      <c r="Q628" s="1126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G629" s="1130"/>
      <c r="H629" s="1124"/>
      <c r="I629" s="1125"/>
      <c r="J629" s="1126"/>
      <c r="K629" s="687"/>
      <c r="N629" s="685"/>
      <c r="O629" s="687"/>
      <c r="Q629" s="1126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G630" s="1130"/>
      <c r="H630" s="1124"/>
      <c r="I630" s="1125"/>
      <c r="J630" s="1126"/>
      <c r="K630" s="687"/>
      <c r="N630" s="685"/>
      <c r="O630" s="687"/>
      <c r="Q630" s="1126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G631" s="1130"/>
      <c r="H631" s="1124"/>
      <c r="I631" s="1125"/>
      <c r="J631" s="1126"/>
      <c r="K631" s="687"/>
      <c r="N631" s="685"/>
      <c r="O631" s="687"/>
      <c r="Q631" s="1126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G632" s="1130"/>
      <c r="H632" s="1124"/>
      <c r="I632" s="1125"/>
      <c r="J632" s="1126"/>
      <c r="K632" s="687"/>
      <c r="N632" s="685"/>
      <c r="O632" s="687"/>
      <c r="Q632" s="1126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G633" s="1130"/>
      <c r="H633" s="1124"/>
      <c r="I633" s="1125"/>
      <c r="J633" s="1126"/>
      <c r="K633" s="687"/>
      <c r="N633" s="685"/>
      <c r="O633" s="687"/>
      <c r="Q633" s="1126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G634" s="1130"/>
      <c r="H634" s="1124"/>
      <c r="I634" s="1125"/>
      <c r="J634" s="1126"/>
      <c r="K634" s="687"/>
      <c r="N634" s="685"/>
      <c r="O634" s="687"/>
      <c r="Q634" s="1126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G635" s="1130"/>
      <c r="H635" s="1124"/>
      <c r="I635" s="1125"/>
      <c r="J635" s="1126"/>
      <c r="K635" s="687"/>
      <c r="N635" s="685"/>
      <c r="O635" s="687"/>
      <c r="Q635" s="1126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G636" s="1130"/>
      <c r="H636" s="1124"/>
      <c r="I636" s="1125"/>
      <c r="J636" s="1126"/>
      <c r="K636" s="687"/>
      <c r="N636" s="685"/>
      <c r="O636" s="687"/>
      <c r="Q636" s="1126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G637" s="1130"/>
      <c r="H637" s="1124"/>
      <c r="I637" s="1125"/>
      <c r="J637" s="1126"/>
      <c r="K637" s="687"/>
      <c r="N637" s="685"/>
      <c r="O637" s="687"/>
      <c r="Q637" s="1126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G638" s="1130"/>
      <c r="H638" s="1124"/>
      <c r="I638" s="1125"/>
      <c r="J638" s="1126"/>
      <c r="K638" s="687"/>
      <c r="N638" s="685"/>
      <c r="O638" s="687"/>
      <c r="Q638" s="1126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G639" s="1130"/>
      <c r="H639" s="1124"/>
      <c r="I639" s="1125"/>
      <c r="J639" s="1126"/>
      <c r="K639" s="687"/>
      <c r="N639" s="685"/>
      <c r="O639" s="687"/>
      <c r="Q639" s="1126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G640" s="1130"/>
      <c r="H640" s="1124"/>
      <c r="I640" s="1125"/>
      <c r="J640" s="1126"/>
      <c r="K640" s="687"/>
      <c r="N640" s="685"/>
      <c r="O640" s="687"/>
      <c r="Q640" s="1126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G641" s="1130"/>
      <c r="H641" s="1124"/>
      <c r="I641" s="1125"/>
      <c r="J641" s="1126"/>
      <c r="K641" s="687"/>
      <c r="N641" s="685"/>
      <c r="O641" s="687"/>
      <c r="Q641" s="1126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G642" s="1130"/>
      <c r="H642" s="1124"/>
      <c r="I642" s="1125"/>
      <c r="J642" s="1126"/>
      <c r="K642" s="687"/>
      <c r="N642" s="685"/>
      <c r="O642" s="687"/>
      <c r="Q642" s="1126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G643" s="1130"/>
      <c r="H643" s="1124"/>
      <c r="I643" s="1125"/>
      <c r="J643" s="1126"/>
      <c r="K643" s="687"/>
      <c r="N643" s="685"/>
      <c r="O643" s="687"/>
      <c r="Q643" s="1126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G644" s="1130"/>
      <c r="H644" s="1124"/>
      <c r="I644" s="1125"/>
      <c r="J644" s="1126"/>
      <c r="K644" s="687"/>
      <c r="N644" s="685"/>
      <c r="O644" s="687"/>
      <c r="Q644" s="1126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G645" s="1130"/>
      <c r="H645" s="1124"/>
      <c r="I645" s="1125"/>
      <c r="J645" s="1126"/>
      <c r="K645" s="687"/>
      <c r="N645" s="685"/>
      <c r="O645" s="687"/>
      <c r="Q645" s="1126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G646" s="1130"/>
      <c r="H646" s="1124"/>
      <c r="I646" s="1125"/>
      <c r="J646" s="1126"/>
      <c r="K646" s="687"/>
      <c r="N646" s="685"/>
      <c r="O646" s="687"/>
      <c r="Q646" s="1126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G647" s="1130"/>
      <c r="H647" s="1124"/>
      <c r="I647" s="1125"/>
      <c r="J647" s="1126"/>
      <c r="K647" s="687"/>
      <c r="N647" s="685"/>
      <c r="O647" s="687"/>
      <c r="Q647" s="1126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G648" s="1130"/>
      <c r="H648" s="1124"/>
      <c r="I648" s="1125"/>
      <c r="J648" s="1126"/>
      <c r="K648" s="687"/>
      <c r="N648" s="685"/>
      <c r="O648" s="687"/>
      <c r="Q648" s="1126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G649" s="1130"/>
      <c r="H649" s="1124"/>
      <c r="I649" s="1125"/>
      <c r="J649" s="1126"/>
      <c r="K649" s="687"/>
      <c r="N649" s="685"/>
      <c r="O649" s="687"/>
      <c r="Q649" s="1126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G650" s="1130"/>
      <c r="H650" s="1124"/>
      <c r="I650" s="1125"/>
      <c r="J650" s="1126"/>
      <c r="K650" s="687"/>
      <c r="N650" s="685"/>
      <c r="O650" s="687"/>
      <c r="Q650" s="1126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G651" s="1130"/>
      <c r="H651" s="1124"/>
      <c r="I651" s="1125"/>
      <c r="J651" s="1126"/>
      <c r="K651" s="687"/>
      <c r="N651" s="685"/>
      <c r="O651" s="687"/>
      <c r="Q651" s="1126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G652" s="1130"/>
      <c r="H652" s="1124"/>
      <c r="I652" s="1125"/>
      <c r="J652" s="1126"/>
      <c r="K652" s="687"/>
      <c r="N652" s="685"/>
      <c r="O652" s="687"/>
      <c r="Q652" s="1126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G653" s="1130"/>
      <c r="H653" s="1124"/>
      <c r="I653" s="1125"/>
      <c r="J653" s="1126"/>
      <c r="K653" s="687"/>
      <c r="N653" s="685"/>
      <c r="O653" s="687"/>
      <c r="Q653" s="1126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G654" s="1130"/>
      <c r="H654" s="1124"/>
      <c r="I654" s="1125"/>
      <c r="J654" s="1126"/>
      <c r="K654" s="687"/>
      <c r="N654" s="685"/>
      <c r="O654" s="687"/>
      <c r="Q654" s="1126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G655" s="1130"/>
      <c r="H655" s="1124"/>
      <c r="I655" s="1125"/>
      <c r="J655" s="1126"/>
      <c r="K655" s="687"/>
      <c r="N655" s="685"/>
      <c r="O655" s="687"/>
      <c r="Q655" s="1126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G656" s="1130"/>
      <c r="H656" s="1124"/>
      <c r="I656" s="1125"/>
      <c r="J656" s="1126"/>
      <c r="K656" s="687"/>
      <c r="N656" s="685"/>
      <c r="O656" s="687"/>
      <c r="Q656" s="1126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G657" s="1130"/>
      <c r="H657" s="1124"/>
      <c r="I657" s="1125"/>
      <c r="J657" s="1126"/>
      <c r="K657" s="687"/>
      <c r="N657" s="685"/>
      <c r="O657" s="687"/>
      <c r="Q657" s="1126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G658" s="1130"/>
      <c r="H658" s="1124"/>
      <c r="I658" s="1125"/>
      <c r="J658" s="1126"/>
      <c r="K658" s="687"/>
      <c r="N658" s="685"/>
      <c r="O658" s="687"/>
      <c r="Q658" s="1126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G659" s="1130"/>
      <c r="H659" s="1124"/>
      <c r="I659" s="1125"/>
      <c r="J659" s="1126"/>
      <c r="K659" s="687"/>
      <c r="N659" s="685"/>
      <c r="O659" s="687"/>
      <c r="Q659" s="1126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G660" s="1130"/>
      <c r="H660" s="1124"/>
      <c r="I660" s="1125"/>
      <c r="J660" s="1126"/>
      <c r="K660" s="687"/>
      <c r="N660" s="685"/>
      <c r="O660" s="687"/>
      <c r="Q660" s="1126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G661" s="1130"/>
      <c r="H661" s="1124"/>
      <c r="I661" s="1125"/>
      <c r="J661" s="1126"/>
      <c r="K661" s="687"/>
      <c r="N661" s="685"/>
      <c r="O661" s="687"/>
      <c r="Q661" s="1126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G662" s="1130"/>
      <c r="H662" s="1124"/>
      <c r="I662" s="1125"/>
      <c r="J662" s="1126"/>
      <c r="K662" s="687"/>
      <c r="N662" s="685"/>
      <c r="O662" s="687"/>
      <c r="Q662" s="1126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G663" s="1130"/>
      <c r="H663" s="1124"/>
      <c r="I663" s="1125"/>
      <c r="J663" s="1126"/>
      <c r="K663" s="687"/>
      <c r="N663" s="685"/>
      <c r="O663" s="687"/>
      <c r="Q663" s="1126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G664" s="1130"/>
      <c r="H664" s="1124"/>
      <c r="I664" s="1125"/>
      <c r="J664" s="1126"/>
      <c r="K664" s="687"/>
      <c r="N664" s="685"/>
      <c r="O664" s="687"/>
      <c r="Q664" s="1126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G665" s="1130"/>
      <c r="H665" s="1124"/>
      <c r="I665" s="1125"/>
      <c r="J665" s="1126"/>
      <c r="K665" s="687"/>
      <c r="N665" s="685"/>
      <c r="O665" s="687"/>
      <c r="Q665" s="1126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G666" s="1130"/>
      <c r="H666" s="1124"/>
      <c r="I666" s="1125"/>
      <c r="J666" s="1126"/>
      <c r="K666" s="687"/>
      <c r="N666" s="685"/>
      <c r="O666" s="687"/>
      <c r="Q666" s="1126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G667" s="1130"/>
      <c r="H667" s="1124"/>
      <c r="I667" s="1125"/>
      <c r="J667" s="1126"/>
      <c r="K667" s="687"/>
      <c r="N667" s="685"/>
      <c r="O667" s="687"/>
      <c r="Q667" s="1126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G668" s="1130"/>
      <c r="H668" s="1124"/>
      <c r="I668" s="1125"/>
      <c r="J668" s="1126"/>
      <c r="K668" s="687"/>
      <c r="N668" s="685"/>
      <c r="O668" s="687"/>
      <c r="Q668" s="1126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G669" s="1130"/>
      <c r="H669" s="1124"/>
      <c r="I669" s="1125"/>
      <c r="J669" s="1126"/>
      <c r="K669" s="687"/>
      <c r="N669" s="685"/>
      <c r="O669" s="687"/>
      <c r="Q669" s="1126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G670" s="1130"/>
      <c r="H670" s="1124"/>
      <c r="I670" s="1125"/>
      <c r="J670" s="1126"/>
      <c r="K670" s="687"/>
      <c r="N670" s="685"/>
      <c r="O670" s="687"/>
      <c r="Q670" s="1126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G671" s="1130"/>
      <c r="H671" s="1124"/>
      <c r="I671" s="1125"/>
      <c r="J671" s="1126"/>
      <c r="K671" s="687"/>
      <c r="N671" s="685"/>
      <c r="O671" s="687"/>
      <c r="Q671" s="1126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G672" s="1130"/>
      <c r="H672" s="1124"/>
      <c r="I672" s="1125"/>
      <c r="J672" s="1126"/>
      <c r="K672" s="687"/>
      <c r="N672" s="685"/>
      <c r="O672" s="687"/>
      <c r="Q672" s="1126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G673" s="1130"/>
      <c r="H673" s="1124"/>
      <c r="I673" s="1125"/>
      <c r="J673" s="1126"/>
      <c r="K673" s="687"/>
      <c r="N673" s="685"/>
      <c r="O673" s="687"/>
      <c r="Q673" s="1126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G674" s="1130"/>
      <c r="H674" s="1124"/>
      <c r="I674" s="1125"/>
      <c r="J674" s="1126"/>
      <c r="K674" s="687"/>
      <c r="N674" s="685"/>
      <c r="O674" s="687"/>
      <c r="Q674" s="1126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G675" s="1130"/>
      <c r="H675" s="1124"/>
      <c r="I675" s="1125"/>
      <c r="J675" s="1126"/>
      <c r="K675" s="687"/>
      <c r="N675" s="685"/>
      <c r="O675" s="687"/>
      <c r="Q675" s="1126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G676" s="1130"/>
      <c r="H676" s="1124"/>
      <c r="I676" s="1125"/>
      <c r="J676" s="1126"/>
      <c r="K676" s="687"/>
      <c r="N676" s="685"/>
      <c r="O676" s="687"/>
      <c r="Q676" s="1126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G677" s="1130"/>
      <c r="H677" s="1124"/>
      <c r="I677" s="1125"/>
      <c r="J677" s="1126"/>
      <c r="K677" s="687"/>
      <c r="N677" s="685"/>
      <c r="O677" s="687"/>
      <c r="Q677" s="1126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G678" s="1130"/>
      <c r="H678" s="1124"/>
      <c r="I678" s="1125"/>
      <c r="J678" s="1126"/>
      <c r="K678" s="687"/>
      <c r="N678" s="685"/>
      <c r="O678" s="687"/>
      <c r="Q678" s="1126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G679" s="1130"/>
      <c r="H679" s="1124"/>
      <c r="I679" s="1125"/>
      <c r="J679" s="1126"/>
      <c r="K679" s="687"/>
      <c r="N679" s="685"/>
      <c r="O679" s="687"/>
      <c r="Q679" s="1126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G680" s="1130"/>
      <c r="H680" s="1124"/>
      <c r="I680" s="1125"/>
      <c r="J680" s="1126"/>
      <c r="K680" s="687"/>
      <c r="N680" s="685"/>
      <c r="O680" s="687"/>
      <c r="Q680" s="1126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G681" s="1130"/>
      <c r="H681" s="1124"/>
      <c r="I681" s="1125"/>
      <c r="J681" s="1126"/>
      <c r="K681" s="687"/>
      <c r="N681" s="685"/>
      <c r="O681" s="687"/>
      <c r="Q681" s="1126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G682" s="1130"/>
      <c r="H682" s="1124"/>
      <c r="I682" s="1125"/>
      <c r="J682" s="1126"/>
      <c r="K682" s="687"/>
      <c r="N682" s="685"/>
      <c r="O682" s="687"/>
      <c r="Q682" s="1126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G683" s="1130"/>
      <c r="H683" s="1124"/>
      <c r="I683" s="1125"/>
      <c r="J683" s="1126"/>
      <c r="K683" s="687"/>
      <c r="N683" s="685"/>
      <c r="O683" s="687"/>
      <c r="Q683" s="1126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G684" s="1130"/>
      <c r="H684" s="1124"/>
      <c r="I684" s="1125"/>
      <c r="J684" s="1126"/>
      <c r="K684" s="687"/>
      <c r="N684" s="685"/>
      <c r="O684" s="687"/>
      <c r="Q684" s="1126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G685" s="1130"/>
      <c r="H685" s="1124"/>
      <c r="I685" s="1125"/>
      <c r="J685" s="1126"/>
      <c r="K685" s="687"/>
      <c r="N685" s="685"/>
      <c r="O685" s="687"/>
      <c r="Q685" s="1126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G686" s="1130"/>
      <c r="H686" s="1124"/>
      <c r="I686" s="1125"/>
      <c r="J686" s="1126"/>
      <c r="K686" s="687"/>
      <c r="N686" s="685"/>
      <c r="O686" s="687"/>
      <c r="Q686" s="1126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G687" s="1130"/>
      <c r="H687" s="1124"/>
      <c r="I687" s="1125"/>
      <c r="J687" s="1126"/>
      <c r="K687" s="687"/>
      <c r="N687" s="685"/>
      <c r="O687" s="687"/>
      <c r="Q687" s="1126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G688" s="1130"/>
      <c r="H688" s="1124"/>
      <c r="I688" s="1125"/>
      <c r="J688" s="1126"/>
      <c r="K688" s="687"/>
      <c r="N688" s="685"/>
      <c r="O688" s="687"/>
      <c r="Q688" s="1126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G689" s="1130"/>
      <c r="H689" s="1124"/>
      <c r="I689" s="1125"/>
      <c r="J689" s="1126"/>
      <c r="K689" s="687"/>
      <c r="N689" s="685"/>
      <c r="O689" s="687"/>
      <c r="Q689" s="1126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G690" s="1130"/>
      <c r="H690" s="1124"/>
      <c r="I690" s="1125"/>
      <c r="J690" s="1126"/>
      <c r="K690" s="687"/>
      <c r="N690" s="685"/>
      <c r="O690" s="687"/>
      <c r="Q690" s="1126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G691" s="1130"/>
      <c r="H691" s="1124"/>
      <c r="I691" s="1125"/>
      <c r="J691" s="1126"/>
      <c r="K691" s="687"/>
      <c r="N691" s="685"/>
      <c r="O691" s="687"/>
      <c r="Q691" s="1126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G692" s="1130"/>
      <c r="H692" s="1124"/>
      <c r="I692" s="1125"/>
      <c r="J692" s="1126"/>
      <c r="K692" s="687"/>
      <c r="N692" s="685"/>
      <c r="O692" s="687"/>
      <c r="Q692" s="1126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G693" s="1130"/>
      <c r="H693" s="1124"/>
      <c r="I693" s="1125"/>
      <c r="J693" s="1126"/>
      <c r="K693" s="687"/>
      <c r="N693" s="685"/>
      <c r="O693" s="687"/>
      <c r="Q693" s="1126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G694" s="1130"/>
      <c r="H694" s="1124"/>
      <c r="I694" s="1125"/>
      <c r="J694" s="1126"/>
      <c r="K694" s="687"/>
      <c r="N694" s="685"/>
      <c r="O694" s="687"/>
      <c r="Q694" s="1126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G695" s="1130"/>
      <c r="H695" s="1124"/>
      <c r="I695" s="1125"/>
      <c r="J695" s="1126"/>
      <c r="K695" s="687"/>
      <c r="N695" s="685"/>
      <c r="O695" s="687"/>
      <c r="Q695" s="1126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G696" s="1130"/>
      <c r="H696" s="1124"/>
      <c r="I696" s="1125"/>
      <c r="J696" s="1126"/>
      <c r="K696" s="687"/>
      <c r="N696" s="685"/>
      <c r="O696" s="687"/>
      <c r="Q696" s="1126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G697" s="1130"/>
      <c r="H697" s="1124"/>
      <c r="I697" s="1125"/>
      <c r="J697" s="1126"/>
      <c r="K697" s="687"/>
      <c r="N697" s="685"/>
      <c r="O697" s="687"/>
      <c r="Q697" s="1126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G698" s="1130"/>
      <c r="H698" s="1124"/>
      <c r="I698" s="1125"/>
      <c r="J698" s="1126"/>
      <c r="K698" s="687"/>
      <c r="N698" s="685"/>
      <c r="O698" s="687"/>
      <c r="Q698" s="1126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G699" s="1130"/>
      <c r="H699" s="1124"/>
      <c r="I699" s="1125"/>
      <c r="J699" s="1126"/>
      <c r="K699" s="687"/>
      <c r="N699" s="685"/>
      <c r="O699" s="687"/>
      <c r="Q699" s="1126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G700" s="1130"/>
      <c r="H700" s="1124"/>
      <c r="I700" s="1125"/>
      <c r="J700" s="1126"/>
      <c r="K700" s="687"/>
      <c r="N700" s="685"/>
      <c r="O700" s="687"/>
      <c r="Q700" s="1126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G701" s="1130"/>
      <c r="H701" s="1124"/>
      <c r="I701" s="1125"/>
      <c r="J701" s="1126"/>
      <c r="K701" s="687"/>
      <c r="N701" s="685"/>
      <c r="O701" s="687"/>
      <c r="Q701" s="1126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G702" s="1130"/>
      <c r="H702" s="1124"/>
      <c r="I702" s="1125"/>
      <c r="J702" s="1126"/>
      <c r="K702" s="687"/>
      <c r="N702" s="685"/>
      <c r="O702" s="687"/>
      <c r="Q702" s="1126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G703" s="1130"/>
      <c r="H703" s="1124"/>
      <c r="I703" s="1125"/>
      <c r="J703" s="1126"/>
      <c r="K703" s="687"/>
      <c r="N703" s="685"/>
      <c r="O703" s="687"/>
      <c r="Q703" s="1126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G704" s="1130"/>
      <c r="H704" s="1124"/>
      <c r="I704" s="1125"/>
      <c r="J704" s="1126"/>
      <c r="K704" s="687"/>
      <c r="N704" s="685"/>
      <c r="O704" s="687"/>
      <c r="Q704" s="1126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G705" s="1130"/>
      <c r="H705" s="1124"/>
      <c r="I705" s="1125"/>
      <c r="J705" s="1126"/>
      <c r="K705" s="687"/>
      <c r="N705" s="685"/>
      <c r="O705" s="687"/>
      <c r="Q705" s="1126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G706" s="1130"/>
      <c r="H706" s="1124"/>
      <c r="I706" s="1125"/>
      <c r="J706" s="1126"/>
      <c r="K706" s="687"/>
      <c r="N706" s="685"/>
      <c r="O706" s="687"/>
      <c r="Q706" s="1126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G707" s="1130"/>
      <c r="H707" s="1124"/>
      <c r="I707" s="1125"/>
      <c r="J707" s="1126"/>
      <c r="K707" s="687"/>
      <c r="N707" s="685"/>
      <c r="O707" s="687"/>
      <c r="Q707" s="1126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G708" s="1130"/>
      <c r="H708" s="1124"/>
      <c r="I708" s="1125"/>
      <c r="J708" s="1126"/>
      <c r="K708" s="687"/>
      <c r="N708" s="685"/>
      <c r="O708" s="687"/>
      <c r="Q708" s="1126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G709" s="1130"/>
      <c r="H709" s="1124"/>
      <c r="I709" s="1125"/>
      <c r="J709" s="1126"/>
      <c r="K709" s="687"/>
      <c r="N709" s="685"/>
      <c r="O709" s="687"/>
      <c r="Q709" s="1126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G710" s="1130"/>
      <c r="H710" s="1124"/>
      <c r="I710" s="1125"/>
      <c r="J710" s="1126"/>
      <c r="K710" s="687"/>
      <c r="N710" s="685"/>
      <c r="O710" s="687"/>
      <c r="Q710" s="1126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G711" s="1130"/>
      <c r="H711" s="1124"/>
      <c r="I711" s="1125"/>
      <c r="J711" s="1126"/>
      <c r="K711" s="687"/>
      <c r="N711" s="685"/>
      <c r="O711" s="687"/>
      <c r="Q711" s="1126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G712" s="1130"/>
      <c r="H712" s="1124"/>
      <c r="I712" s="1125"/>
      <c r="J712" s="1126"/>
      <c r="K712" s="687"/>
      <c r="N712" s="685"/>
      <c r="O712" s="687"/>
      <c r="Q712" s="1126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G713" s="1130"/>
      <c r="H713" s="1124"/>
      <c r="I713" s="1125"/>
      <c r="J713" s="1126"/>
      <c r="K713" s="687"/>
      <c r="N713" s="685"/>
      <c r="O713" s="687"/>
      <c r="Q713" s="1126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G714" s="1130"/>
      <c r="H714" s="1124"/>
      <c r="I714" s="1125"/>
      <c r="J714" s="1126"/>
      <c r="K714" s="687"/>
      <c r="N714" s="685"/>
      <c r="O714" s="687"/>
      <c r="Q714" s="1126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G715" s="1130"/>
      <c r="H715" s="1124"/>
      <c r="I715" s="1125"/>
      <c r="J715" s="1126"/>
      <c r="K715" s="687"/>
      <c r="N715" s="685"/>
      <c r="O715" s="687"/>
      <c r="Q715" s="1126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G716" s="1130"/>
      <c r="H716" s="1124"/>
      <c r="I716" s="1125"/>
      <c r="J716" s="1126"/>
      <c r="K716" s="687"/>
      <c r="N716" s="685"/>
      <c r="O716" s="687"/>
      <c r="Q716" s="1126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G717" s="1130"/>
      <c r="H717" s="1124"/>
      <c r="I717" s="1125"/>
      <c r="J717" s="1126"/>
      <c r="K717" s="687"/>
      <c r="N717" s="685"/>
      <c r="O717" s="687"/>
      <c r="Q717" s="1126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G718" s="1130"/>
      <c r="H718" s="1124"/>
      <c r="I718" s="1125"/>
      <c r="J718" s="1126"/>
      <c r="K718" s="687"/>
      <c r="N718" s="685"/>
      <c r="O718" s="687"/>
      <c r="Q718" s="1126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G719" s="1130"/>
      <c r="H719" s="1124"/>
      <c r="I719" s="1125"/>
      <c r="J719" s="1126"/>
      <c r="K719" s="687"/>
      <c r="N719" s="685"/>
      <c r="O719" s="687"/>
      <c r="Q719" s="1126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G720" s="1130"/>
      <c r="H720" s="1124"/>
      <c r="I720" s="1125"/>
      <c r="J720" s="1126"/>
      <c r="K720" s="687"/>
      <c r="N720" s="685"/>
      <c r="O720" s="687"/>
      <c r="Q720" s="1126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G721" s="1130"/>
      <c r="H721" s="1124"/>
      <c r="I721" s="1125"/>
      <c r="J721" s="1126"/>
      <c r="K721" s="687"/>
      <c r="N721" s="685"/>
      <c r="O721" s="687"/>
      <c r="Q721" s="1126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G722" s="1130"/>
      <c r="H722" s="1124"/>
      <c r="I722" s="1125"/>
      <c r="J722" s="1126"/>
      <c r="K722" s="687"/>
      <c r="N722" s="685"/>
      <c r="O722" s="687"/>
      <c r="Q722" s="1126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G723" s="1130"/>
      <c r="H723" s="1124"/>
      <c r="I723" s="1125"/>
      <c r="J723" s="1126"/>
      <c r="K723" s="687"/>
      <c r="N723" s="685"/>
      <c r="O723" s="687"/>
      <c r="Q723" s="1126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G724" s="1130"/>
      <c r="H724" s="1124"/>
      <c r="I724" s="1125"/>
      <c r="J724" s="1126"/>
      <c r="K724" s="687"/>
      <c r="N724" s="685"/>
      <c r="O724" s="687"/>
      <c r="Q724" s="1126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G725" s="1130"/>
      <c r="H725" s="1124"/>
      <c r="I725" s="1125"/>
      <c r="J725" s="1126"/>
      <c r="K725" s="687"/>
      <c r="N725" s="685"/>
      <c r="O725" s="687"/>
      <c r="Q725" s="1126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G726" s="1130"/>
      <c r="H726" s="1124"/>
      <c r="I726" s="1125"/>
      <c r="J726" s="1126"/>
      <c r="K726" s="687"/>
      <c r="N726" s="685"/>
      <c r="O726" s="687"/>
      <c r="Q726" s="1126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G727" s="1130"/>
      <c r="H727" s="1124"/>
      <c r="I727" s="1125"/>
      <c r="J727" s="1126"/>
      <c r="K727" s="687"/>
      <c r="N727" s="685"/>
      <c r="O727" s="687"/>
      <c r="Q727" s="1126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G728" s="1130"/>
      <c r="H728" s="1124"/>
      <c r="I728" s="1125"/>
      <c r="J728" s="1126"/>
      <c r="K728" s="687"/>
      <c r="N728" s="685"/>
      <c r="O728" s="687"/>
      <c r="Q728" s="1126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G729" s="1130"/>
      <c r="H729" s="1124"/>
      <c r="I729" s="1125"/>
      <c r="J729" s="1126"/>
      <c r="K729" s="687"/>
      <c r="N729" s="685"/>
      <c r="O729" s="687"/>
      <c r="Q729" s="1126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G730" s="1130"/>
      <c r="H730" s="1124"/>
      <c r="I730" s="1125"/>
      <c r="J730" s="1126"/>
      <c r="K730" s="687"/>
      <c r="N730" s="685"/>
      <c r="O730" s="687"/>
      <c r="Q730" s="1126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G731" s="1130"/>
      <c r="H731" s="1124"/>
      <c r="I731" s="1125"/>
      <c r="J731" s="1126"/>
      <c r="K731" s="687"/>
      <c r="N731" s="685"/>
      <c r="O731" s="687"/>
      <c r="Q731" s="1126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G732" s="1130"/>
      <c r="H732" s="1124"/>
      <c r="I732" s="1125"/>
      <c r="J732" s="1126"/>
      <c r="K732" s="687"/>
      <c r="N732" s="685"/>
      <c r="O732" s="687"/>
      <c r="Q732" s="1126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G733" s="1130"/>
      <c r="H733" s="1124"/>
      <c r="I733" s="1125"/>
      <c r="J733" s="1126"/>
      <c r="K733" s="687"/>
      <c r="N733" s="685"/>
      <c r="O733" s="687"/>
      <c r="Q733" s="1126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G734" s="1130"/>
      <c r="H734" s="1124"/>
      <c r="I734" s="1125"/>
      <c r="J734" s="1126"/>
      <c r="K734" s="687"/>
      <c r="N734" s="685"/>
      <c r="O734" s="687"/>
      <c r="Q734" s="1126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G735" s="1130"/>
      <c r="H735" s="1124"/>
      <c r="I735" s="1125"/>
      <c r="J735" s="1126"/>
      <c r="K735" s="687"/>
      <c r="N735" s="685"/>
      <c r="O735" s="687"/>
      <c r="Q735" s="1126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G736" s="1130"/>
      <c r="H736" s="1124"/>
      <c r="I736" s="1125"/>
      <c r="J736" s="1126"/>
      <c r="K736" s="687"/>
      <c r="N736" s="685"/>
      <c r="O736" s="687"/>
      <c r="Q736" s="1126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G737" s="1130"/>
      <c r="H737" s="1124"/>
      <c r="I737" s="1125"/>
      <c r="J737" s="1126"/>
      <c r="K737" s="687"/>
      <c r="N737" s="685"/>
      <c r="O737" s="687"/>
      <c r="Q737" s="1126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G738" s="1130"/>
      <c r="H738" s="1124"/>
      <c r="I738" s="1125"/>
      <c r="J738" s="1126"/>
      <c r="K738" s="687"/>
      <c r="N738" s="685"/>
      <c r="O738" s="687"/>
      <c r="Q738" s="1126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G739" s="1130"/>
      <c r="H739" s="1124"/>
      <c r="I739" s="1125"/>
      <c r="J739" s="1126"/>
      <c r="K739" s="687"/>
      <c r="N739" s="685"/>
      <c r="O739" s="687"/>
      <c r="Q739" s="1126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G740" s="1130"/>
      <c r="H740" s="1124"/>
      <c r="I740" s="1125"/>
      <c r="J740" s="1126"/>
      <c r="K740" s="687"/>
      <c r="N740" s="685"/>
      <c r="O740" s="687"/>
      <c r="Q740" s="1126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G741" s="1130"/>
      <c r="H741" s="1124"/>
      <c r="I741" s="1125"/>
      <c r="J741" s="1126"/>
      <c r="K741" s="687"/>
      <c r="N741" s="685"/>
      <c r="O741" s="687"/>
      <c r="Q741" s="1126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G742" s="1130"/>
      <c r="H742" s="1124"/>
      <c r="I742" s="1125"/>
      <c r="J742" s="1126"/>
      <c r="K742" s="687"/>
      <c r="N742" s="685"/>
      <c r="O742" s="687"/>
      <c r="Q742" s="1126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G743" s="1130"/>
      <c r="H743" s="1124"/>
      <c r="I743" s="1125"/>
      <c r="J743" s="1126"/>
      <c r="K743" s="687"/>
      <c r="N743" s="685"/>
      <c r="O743" s="687"/>
      <c r="Q743" s="1126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G744" s="1130"/>
      <c r="H744" s="1124"/>
      <c r="I744" s="1125"/>
      <c r="J744" s="1126"/>
      <c r="K744" s="687"/>
      <c r="N744" s="685"/>
      <c r="O744" s="687"/>
      <c r="Q744" s="1126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G745" s="1130"/>
      <c r="H745" s="1124"/>
      <c r="I745" s="1125"/>
      <c r="J745" s="1126"/>
      <c r="K745" s="687"/>
      <c r="N745" s="685"/>
      <c r="O745" s="687"/>
      <c r="Q745" s="1126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G746" s="1130"/>
      <c r="H746" s="1124"/>
      <c r="I746" s="1125"/>
      <c r="J746" s="1126"/>
      <c r="K746" s="687"/>
      <c r="N746" s="685"/>
      <c r="O746" s="687"/>
      <c r="Q746" s="1126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G747" s="1130"/>
      <c r="H747" s="1124"/>
      <c r="I747" s="1125"/>
      <c r="J747" s="1126"/>
      <c r="K747" s="687"/>
      <c r="N747" s="685"/>
      <c r="O747" s="687"/>
      <c r="Q747" s="1126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G748" s="1130"/>
      <c r="H748" s="1124"/>
      <c r="I748" s="1125"/>
      <c r="J748" s="1126"/>
      <c r="K748" s="687"/>
      <c r="N748" s="685"/>
      <c r="O748" s="687"/>
      <c r="Q748" s="1126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G749" s="1130"/>
      <c r="H749" s="1124"/>
      <c r="I749" s="1125"/>
      <c r="J749" s="1126"/>
      <c r="K749" s="687"/>
      <c r="N749" s="685"/>
      <c r="O749" s="687"/>
      <c r="Q749" s="1126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G750" s="1130"/>
      <c r="H750" s="1124"/>
      <c r="I750" s="1125"/>
      <c r="J750" s="1126"/>
      <c r="K750" s="687"/>
      <c r="N750" s="685"/>
      <c r="O750" s="687"/>
      <c r="Q750" s="1126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G751" s="1130"/>
      <c r="H751" s="1124"/>
      <c r="I751" s="1125"/>
      <c r="J751" s="1126"/>
      <c r="K751" s="687"/>
      <c r="N751" s="685"/>
      <c r="O751" s="687"/>
      <c r="Q751" s="1126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G752" s="1130"/>
      <c r="H752" s="1124"/>
      <c r="I752" s="1125"/>
      <c r="J752" s="1126"/>
      <c r="K752" s="687"/>
      <c r="N752" s="685"/>
      <c r="O752" s="687"/>
      <c r="Q752" s="1126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G753" s="1130"/>
      <c r="H753" s="1124"/>
      <c r="I753" s="1125"/>
      <c r="J753" s="1126"/>
      <c r="K753" s="687"/>
      <c r="N753" s="685"/>
      <c r="O753" s="687"/>
      <c r="Q753" s="1126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G754" s="1130"/>
      <c r="H754" s="1124"/>
      <c r="I754" s="1125"/>
      <c r="J754" s="1126"/>
      <c r="K754" s="687"/>
      <c r="N754" s="685"/>
      <c r="O754" s="687"/>
      <c r="Q754" s="1126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G755" s="1130"/>
      <c r="H755" s="1124"/>
      <c r="I755" s="1125"/>
      <c r="J755" s="1126"/>
      <c r="K755" s="687"/>
      <c r="N755" s="685"/>
      <c r="O755" s="687"/>
      <c r="Q755" s="1126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G756" s="1130"/>
      <c r="H756" s="1124"/>
      <c r="I756" s="1125"/>
      <c r="J756" s="1126"/>
      <c r="K756" s="687"/>
      <c r="N756" s="685"/>
      <c r="O756" s="687"/>
      <c r="Q756" s="1126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G757" s="1130"/>
      <c r="H757" s="1124"/>
      <c r="I757" s="1125"/>
      <c r="J757" s="1126"/>
      <c r="K757" s="687"/>
      <c r="N757" s="685"/>
      <c r="O757" s="687"/>
      <c r="Q757" s="1126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G758" s="1130"/>
      <c r="H758" s="1124"/>
      <c r="I758" s="1125"/>
      <c r="J758" s="1126"/>
      <c r="K758" s="687"/>
      <c r="N758" s="685"/>
      <c r="O758" s="687"/>
      <c r="Q758" s="1126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G759" s="1130"/>
      <c r="H759" s="1124"/>
      <c r="I759" s="1125"/>
      <c r="J759" s="1126"/>
      <c r="K759" s="687"/>
      <c r="N759" s="685"/>
      <c r="O759" s="687"/>
      <c r="Q759" s="1126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G760" s="1130"/>
      <c r="H760" s="1124"/>
      <c r="I760" s="1125"/>
      <c r="J760" s="1126"/>
      <c r="K760" s="687"/>
      <c r="N760" s="685"/>
      <c r="O760" s="687"/>
      <c r="Q760" s="1126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G761" s="1130"/>
      <c r="H761" s="1124"/>
      <c r="I761" s="1125"/>
      <c r="J761" s="1126"/>
      <c r="K761" s="687"/>
      <c r="N761" s="685"/>
      <c r="O761" s="687"/>
      <c r="Q761" s="1126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G762" s="1130"/>
      <c r="H762" s="1124"/>
      <c r="I762" s="1125"/>
      <c r="J762" s="1126"/>
      <c r="K762" s="687"/>
      <c r="N762" s="685"/>
      <c r="O762" s="687"/>
      <c r="Q762" s="1126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G763" s="1130"/>
      <c r="H763" s="1124"/>
      <c r="I763" s="1125"/>
      <c r="J763" s="1126"/>
      <c r="K763" s="687"/>
      <c r="N763" s="685"/>
      <c r="O763" s="687"/>
      <c r="Q763" s="1126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G764" s="1130"/>
      <c r="H764" s="1124"/>
      <c r="I764" s="1125"/>
      <c r="J764" s="1126"/>
      <c r="K764" s="687"/>
      <c r="N764" s="685"/>
      <c r="O764" s="687"/>
      <c r="Q764" s="1126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G765" s="1130"/>
      <c r="H765" s="1124"/>
      <c r="I765" s="1125"/>
      <c r="J765" s="1126"/>
      <c r="K765" s="687"/>
      <c r="N765" s="685"/>
      <c r="O765" s="687"/>
      <c r="Q765" s="1126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G766" s="1130"/>
      <c r="H766" s="1124"/>
      <c r="I766" s="1125"/>
      <c r="J766" s="1126"/>
      <c r="K766" s="687"/>
      <c r="N766" s="685"/>
      <c r="O766" s="687"/>
      <c r="Q766" s="1126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G767" s="1130"/>
      <c r="H767" s="1124"/>
      <c r="I767" s="1125"/>
      <c r="J767" s="1126"/>
      <c r="K767" s="687"/>
      <c r="N767" s="685"/>
      <c r="O767" s="687"/>
      <c r="Q767" s="1126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G768" s="1130"/>
      <c r="H768" s="1124"/>
      <c r="I768" s="1125"/>
      <c r="J768" s="1126"/>
      <c r="K768" s="687"/>
      <c r="N768" s="685"/>
      <c r="O768" s="687"/>
      <c r="Q768" s="1126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G769" s="1130"/>
      <c r="H769" s="1124"/>
      <c r="I769" s="1125"/>
      <c r="J769" s="1126"/>
      <c r="K769" s="687"/>
      <c r="N769" s="685"/>
      <c r="O769" s="687"/>
      <c r="Q769" s="1126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G770" s="1130"/>
      <c r="H770" s="1124"/>
      <c r="I770" s="1125"/>
      <c r="J770" s="1126"/>
      <c r="K770" s="687"/>
      <c r="N770" s="685"/>
      <c r="O770" s="687"/>
      <c r="Q770" s="1126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G771" s="1130"/>
      <c r="H771" s="1124"/>
      <c r="I771" s="1125"/>
      <c r="J771" s="1126"/>
      <c r="K771" s="687"/>
      <c r="N771" s="685"/>
      <c r="O771" s="687"/>
      <c r="Q771" s="1126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G772" s="1130"/>
      <c r="H772" s="1124"/>
      <c r="I772" s="1125"/>
      <c r="J772" s="1126"/>
      <c r="K772" s="687"/>
      <c r="N772" s="685"/>
      <c r="O772" s="687"/>
      <c r="Q772" s="1126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G773" s="1130"/>
      <c r="H773" s="1124"/>
      <c r="I773" s="1125"/>
      <c r="J773" s="1126"/>
      <c r="K773" s="687"/>
      <c r="N773" s="685"/>
      <c r="O773" s="687"/>
      <c r="Q773" s="1126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G774" s="1130"/>
      <c r="H774" s="1124"/>
      <c r="I774" s="1125"/>
      <c r="J774" s="1126"/>
      <c r="K774" s="687"/>
      <c r="N774" s="685"/>
      <c r="O774" s="687"/>
      <c r="Q774" s="1126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G775" s="1130"/>
      <c r="H775" s="1124"/>
      <c r="I775" s="1125"/>
      <c r="J775" s="1126"/>
      <c r="K775" s="687"/>
      <c r="N775" s="685"/>
      <c r="O775" s="687"/>
      <c r="Q775" s="1126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G776" s="1130"/>
      <c r="H776" s="1124"/>
      <c r="I776" s="1125"/>
      <c r="J776" s="1126"/>
      <c r="K776" s="687"/>
      <c r="N776" s="685"/>
      <c r="O776" s="687"/>
      <c r="Q776" s="1126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G777" s="1130"/>
      <c r="H777" s="1124"/>
      <c r="I777" s="1125"/>
      <c r="J777" s="1126"/>
      <c r="K777" s="687"/>
      <c r="N777" s="685"/>
      <c r="O777" s="687"/>
      <c r="Q777" s="1126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G778" s="1130"/>
      <c r="H778" s="1124"/>
      <c r="I778" s="1125"/>
      <c r="J778" s="1126"/>
      <c r="K778" s="687"/>
      <c r="N778" s="685"/>
      <c r="O778" s="687"/>
      <c r="Q778" s="1126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G779" s="1130"/>
      <c r="H779" s="1124"/>
      <c r="I779" s="1125"/>
      <c r="J779" s="1126"/>
      <c r="K779" s="687"/>
      <c r="N779" s="685"/>
      <c r="O779" s="687"/>
      <c r="Q779" s="1126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G780" s="1130"/>
      <c r="H780" s="1124"/>
      <c r="I780" s="1125"/>
      <c r="J780" s="1126"/>
      <c r="K780" s="687"/>
      <c r="N780" s="685"/>
      <c r="O780" s="687"/>
      <c r="Q780" s="1126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G781" s="1130"/>
      <c r="H781" s="1124"/>
      <c r="I781" s="1125"/>
      <c r="J781" s="1126"/>
      <c r="K781" s="687"/>
      <c r="N781" s="685"/>
      <c r="O781" s="687"/>
      <c r="Q781" s="1126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G782" s="1130"/>
      <c r="H782" s="1124"/>
      <c r="I782" s="1125"/>
      <c r="J782" s="1126"/>
      <c r="K782" s="687"/>
      <c r="N782" s="685"/>
      <c r="O782" s="687"/>
      <c r="Q782" s="1126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G783" s="1130"/>
      <c r="H783" s="1124"/>
      <c r="I783" s="1125"/>
      <c r="J783" s="1126"/>
      <c r="K783" s="687"/>
      <c r="N783" s="685"/>
      <c r="O783" s="687"/>
      <c r="Q783" s="1126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G784" s="1130"/>
      <c r="H784" s="1124"/>
      <c r="I784" s="1125"/>
      <c r="J784" s="1126"/>
      <c r="K784" s="687"/>
      <c r="N784" s="685"/>
      <c r="O784" s="687"/>
      <c r="Q784" s="1126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G785" s="1130"/>
      <c r="H785" s="1124"/>
      <c r="I785" s="1125"/>
      <c r="J785" s="1126"/>
      <c r="K785" s="687"/>
      <c r="N785" s="685"/>
      <c r="O785" s="687"/>
      <c r="Q785" s="1126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G786" s="1130"/>
      <c r="H786" s="1124"/>
      <c r="I786" s="1125"/>
      <c r="J786" s="1126"/>
      <c r="K786" s="687"/>
      <c r="N786" s="685"/>
      <c r="O786" s="687"/>
      <c r="Q786" s="1126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G787" s="1130"/>
      <c r="H787" s="1124"/>
      <c r="I787" s="1125"/>
      <c r="J787" s="1126"/>
      <c r="K787" s="687"/>
      <c r="N787" s="685"/>
      <c r="O787" s="687"/>
      <c r="Q787" s="1126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G788" s="1130"/>
      <c r="H788" s="1124"/>
      <c r="I788" s="1125"/>
      <c r="J788" s="1126"/>
      <c r="K788" s="687"/>
      <c r="N788" s="685"/>
      <c r="O788" s="687"/>
      <c r="Q788" s="1126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G789" s="1130"/>
      <c r="H789" s="1124"/>
      <c r="I789" s="1125"/>
      <c r="J789" s="1126"/>
      <c r="K789" s="687"/>
      <c r="N789" s="685"/>
      <c r="O789" s="687"/>
      <c r="Q789" s="1126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G790" s="1130"/>
      <c r="H790" s="1124"/>
      <c r="I790" s="1125"/>
      <c r="J790" s="1126"/>
      <c r="K790" s="687"/>
      <c r="N790" s="685"/>
      <c r="O790" s="687"/>
      <c r="Q790" s="1126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G791" s="1130"/>
      <c r="H791" s="1124"/>
      <c r="I791" s="1125"/>
      <c r="J791" s="1126"/>
      <c r="K791" s="687"/>
      <c r="N791" s="685"/>
      <c r="O791" s="687"/>
      <c r="Q791" s="1126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G792" s="1130"/>
      <c r="H792" s="1124"/>
      <c r="I792" s="1125"/>
      <c r="J792" s="1126"/>
      <c r="K792" s="687"/>
      <c r="N792" s="685"/>
      <c r="O792" s="687"/>
      <c r="Q792" s="1126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G793" s="1130"/>
      <c r="H793" s="1124"/>
      <c r="I793" s="1125"/>
      <c r="J793" s="1126"/>
      <c r="K793" s="687"/>
      <c r="N793" s="685"/>
      <c r="O793" s="687"/>
      <c r="Q793" s="1126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G794" s="1130"/>
      <c r="H794" s="1124"/>
      <c r="I794" s="1125"/>
      <c r="J794" s="1126"/>
      <c r="K794" s="687"/>
      <c r="N794" s="685"/>
      <c r="O794" s="687"/>
      <c r="Q794" s="1126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G795" s="1130"/>
      <c r="H795" s="1124"/>
      <c r="I795" s="1125"/>
      <c r="J795" s="1126"/>
      <c r="K795" s="687"/>
      <c r="N795" s="685"/>
      <c r="O795" s="687"/>
      <c r="Q795" s="1126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G796" s="1130"/>
      <c r="H796" s="1124"/>
      <c r="I796" s="1125"/>
      <c r="J796" s="1126"/>
      <c r="K796" s="687"/>
      <c r="N796" s="685"/>
      <c r="O796" s="687"/>
      <c r="Q796" s="1126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G797" s="1130"/>
      <c r="H797" s="1124"/>
      <c r="I797" s="1125"/>
      <c r="J797" s="1126"/>
      <c r="K797" s="687"/>
      <c r="N797" s="685"/>
      <c r="O797" s="687"/>
      <c r="Q797" s="1126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G798" s="1130"/>
      <c r="H798" s="1124"/>
      <c r="I798" s="1125"/>
      <c r="J798" s="1126"/>
      <c r="K798" s="687"/>
      <c r="N798" s="685"/>
      <c r="O798" s="687"/>
      <c r="Q798" s="1126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G799" s="1130"/>
      <c r="H799" s="1124"/>
      <c r="I799" s="1125"/>
      <c r="J799" s="1126"/>
      <c r="K799" s="687"/>
      <c r="N799" s="685"/>
      <c r="O799" s="687"/>
      <c r="Q799" s="1126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G800" s="1130"/>
      <c r="H800" s="1124"/>
      <c r="I800" s="1125"/>
      <c r="J800" s="1126"/>
      <c r="K800" s="687"/>
      <c r="N800" s="685"/>
      <c r="O800" s="687"/>
      <c r="Q800" s="1126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G801" s="1130"/>
      <c r="H801" s="1124"/>
      <c r="I801" s="1125"/>
      <c r="J801" s="1126"/>
      <c r="K801" s="687"/>
      <c r="N801" s="685"/>
      <c r="O801" s="687"/>
      <c r="Q801" s="1126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G802" s="1130"/>
      <c r="H802" s="1124"/>
      <c r="I802" s="1125"/>
      <c r="J802" s="1126"/>
      <c r="K802" s="687"/>
      <c r="N802" s="685"/>
      <c r="O802" s="687"/>
      <c r="Q802" s="1126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G803" s="1130"/>
      <c r="H803" s="1124"/>
      <c r="I803" s="1125"/>
      <c r="J803" s="1126"/>
      <c r="K803" s="687"/>
      <c r="N803" s="685"/>
      <c r="O803" s="687"/>
      <c r="Q803" s="1126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G804" s="1130"/>
      <c r="H804" s="1124"/>
      <c r="I804" s="1125"/>
      <c r="J804" s="1126"/>
      <c r="K804" s="687"/>
      <c r="N804" s="685"/>
      <c r="O804" s="687"/>
      <c r="Q804" s="1126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G805" s="1130"/>
      <c r="H805" s="1124"/>
      <c r="I805" s="1125"/>
      <c r="J805" s="1126"/>
      <c r="K805" s="687"/>
      <c r="N805" s="685"/>
      <c r="O805" s="687"/>
      <c r="Q805" s="1126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G806" s="1130"/>
      <c r="H806" s="1124"/>
      <c r="I806" s="1125"/>
      <c r="J806" s="1126"/>
      <c r="K806" s="687"/>
      <c r="N806" s="685"/>
      <c r="O806" s="687"/>
      <c r="Q806" s="1126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G807" s="1130"/>
      <c r="H807" s="1124"/>
      <c r="I807" s="1125"/>
      <c r="J807" s="1126"/>
      <c r="K807" s="687"/>
      <c r="N807" s="685"/>
      <c r="O807" s="687"/>
      <c r="Q807" s="1126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G808" s="1130"/>
      <c r="H808" s="1124"/>
      <c r="I808" s="1125"/>
      <c r="J808" s="1126"/>
      <c r="K808" s="687"/>
      <c r="N808" s="685"/>
      <c r="O808" s="687"/>
      <c r="Q808" s="1126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G809" s="1130"/>
      <c r="H809" s="1124"/>
      <c r="I809" s="1125"/>
      <c r="J809" s="1126"/>
      <c r="K809" s="687"/>
      <c r="N809" s="685"/>
      <c r="O809" s="687"/>
      <c r="Q809" s="1126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G810" s="1130"/>
      <c r="H810" s="1124"/>
      <c r="I810" s="1125"/>
      <c r="J810" s="1126"/>
      <c r="K810" s="687"/>
      <c r="N810" s="685"/>
      <c r="O810" s="687"/>
      <c r="Q810" s="1126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G811" s="1130"/>
      <c r="H811" s="1124"/>
      <c r="I811" s="1125"/>
      <c r="J811" s="1126"/>
      <c r="K811" s="687"/>
      <c r="N811" s="685"/>
      <c r="O811" s="687"/>
      <c r="Q811" s="1126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G812" s="1130"/>
      <c r="H812" s="1124"/>
      <c r="I812" s="1125"/>
      <c r="J812" s="1126"/>
      <c r="K812" s="687"/>
      <c r="N812" s="685"/>
      <c r="O812" s="687"/>
      <c r="Q812" s="1126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G813" s="1130"/>
      <c r="H813" s="1124"/>
      <c r="I813" s="1125"/>
      <c r="J813" s="1126"/>
      <c r="K813" s="687"/>
      <c r="N813" s="685"/>
      <c r="O813" s="687"/>
      <c r="Q813" s="1126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G814" s="1130"/>
      <c r="H814" s="1124"/>
      <c r="I814" s="1125"/>
      <c r="J814" s="1126"/>
      <c r="K814" s="687"/>
      <c r="N814" s="685"/>
      <c r="O814" s="687"/>
      <c r="Q814" s="1126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G815" s="1130"/>
      <c r="H815" s="1124"/>
      <c r="I815" s="1125"/>
      <c r="J815" s="1126"/>
      <c r="K815" s="687"/>
      <c r="N815" s="685"/>
      <c r="O815" s="687"/>
      <c r="Q815" s="1126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G816" s="1130"/>
      <c r="H816" s="1124"/>
      <c r="I816" s="1125"/>
      <c r="J816" s="1126"/>
      <c r="K816" s="687"/>
      <c r="N816" s="685"/>
      <c r="O816" s="687"/>
      <c r="Q816" s="1126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G817" s="1130"/>
      <c r="H817" s="1124"/>
      <c r="I817" s="1125"/>
      <c r="J817" s="1126"/>
      <c r="K817" s="687"/>
      <c r="N817" s="685"/>
      <c r="O817" s="687"/>
      <c r="Q817" s="1126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G818" s="1130"/>
      <c r="H818" s="1124"/>
      <c r="I818" s="1125"/>
      <c r="J818" s="1126"/>
      <c r="K818" s="687"/>
      <c r="N818" s="685"/>
      <c r="O818" s="687"/>
      <c r="Q818" s="1126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G819" s="1130"/>
      <c r="H819" s="1124"/>
      <c r="I819" s="1125"/>
      <c r="J819" s="1126"/>
      <c r="K819" s="687"/>
      <c r="N819" s="685"/>
      <c r="O819" s="687"/>
      <c r="Q819" s="1126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G820" s="1130"/>
      <c r="H820" s="1124"/>
      <c r="I820" s="1125"/>
      <c r="J820" s="1126"/>
      <c r="K820" s="687"/>
      <c r="N820" s="685"/>
      <c r="O820" s="687"/>
      <c r="Q820" s="1126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G821" s="1130"/>
      <c r="H821" s="1124"/>
      <c r="I821" s="1125"/>
      <c r="J821" s="1126"/>
      <c r="K821" s="687"/>
      <c r="N821" s="685"/>
      <c r="O821" s="687"/>
      <c r="Q821" s="1126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G822" s="1130"/>
      <c r="H822" s="1124"/>
      <c r="I822" s="1125"/>
      <c r="J822" s="1126"/>
      <c r="K822" s="687"/>
      <c r="N822" s="685"/>
      <c r="O822" s="687"/>
      <c r="Q822" s="1126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G823" s="1130"/>
      <c r="H823" s="1124"/>
      <c r="I823" s="1125"/>
      <c r="J823" s="1126"/>
      <c r="K823" s="687"/>
      <c r="N823" s="685"/>
      <c r="O823" s="687"/>
      <c r="Q823" s="1126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G824" s="1130"/>
      <c r="H824" s="1124"/>
      <c r="I824" s="1125"/>
      <c r="J824" s="1126"/>
      <c r="K824" s="687"/>
      <c r="N824" s="685"/>
      <c r="O824" s="687"/>
      <c r="Q824" s="1126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G825" s="1130"/>
      <c r="H825" s="1124"/>
      <c r="I825" s="1125"/>
      <c r="J825" s="1126"/>
      <c r="K825" s="687"/>
      <c r="N825" s="685"/>
      <c r="O825" s="687"/>
      <c r="Q825" s="1126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G826" s="1130"/>
      <c r="H826" s="1124"/>
      <c r="I826" s="1125"/>
      <c r="J826" s="1126"/>
      <c r="K826" s="687"/>
      <c r="N826" s="685"/>
      <c r="O826" s="687"/>
      <c r="Q826" s="1126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G827" s="1130"/>
      <c r="H827" s="1124"/>
      <c r="I827" s="1125"/>
      <c r="J827" s="1126"/>
      <c r="K827" s="687"/>
      <c r="N827" s="685"/>
      <c r="O827" s="687"/>
      <c r="Q827" s="1126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G828" s="1130"/>
      <c r="H828" s="1124"/>
      <c r="I828" s="1125"/>
      <c r="J828" s="1126"/>
      <c r="K828" s="687"/>
      <c r="N828" s="685"/>
      <c r="O828" s="687"/>
      <c r="Q828" s="1126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G829" s="1130"/>
      <c r="H829" s="1124"/>
      <c r="I829" s="1125"/>
      <c r="J829" s="1126"/>
      <c r="K829" s="687"/>
      <c r="N829" s="685"/>
      <c r="O829" s="687"/>
      <c r="Q829" s="1126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G830" s="1130"/>
      <c r="H830" s="1124"/>
      <c r="I830" s="1125"/>
      <c r="J830" s="1126"/>
      <c r="K830" s="687"/>
      <c r="N830" s="685"/>
      <c r="O830" s="687"/>
      <c r="Q830" s="1126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G831" s="1130"/>
      <c r="H831" s="1124"/>
      <c r="I831" s="1125"/>
      <c r="J831" s="1126"/>
      <c r="K831" s="687"/>
      <c r="N831" s="685"/>
      <c r="O831" s="687"/>
      <c r="Q831" s="1126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G832" s="1130"/>
      <c r="H832" s="1124"/>
      <c r="I832" s="1125"/>
      <c r="J832" s="1126"/>
      <c r="K832" s="687"/>
      <c r="N832" s="685"/>
      <c r="O832" s="687"/>
      <c r="Q832" s="1126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G833" s="1130"/>
      <c r="H833" s="1124"/>
      <c r="I833" s="1125"/>
      <c r="J833" s="1126"/>
      <c r="K833" s="687"/>
      <c r="N833" s="685"/>
      <c r="O833" s="687"/>
      <c r="Q833" s="1126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G834" s="1130"/>
      <c r="H834" s="1124"/>
      <c r="I834" s="1125"/>
      <c r="J834" s="1126"/>
      <c r="K834" s="687"/>
      <c r="N834" s="685"/>
      <c r="O834" s="687"/>
      <c r="Q834" s="1126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G835" s="1130"/>
      <c r="H835" s="1124"/>
      <c r="I835" s="1125"/>
      <c r="J835" s="1126"/>
      <c r="K835" s="687"/>
      <c r="N835" s="685"/>
      <c r="O835" s="687"/>
      <c r="Q835" s="1126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G836" s="1130"/>
      <c r="H836" s="1124"/>
      <c r="I836" s="1125"/>
      <c r="J836" s="1126"/>
      <c r="K836" s="687"/>
      <c r="N836" s="685"/>
      <c r="O836" s="687"/>
      <c r="Q836" s="1126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G837" s="1130"/>
      <c r="H837" s="1124"/>
      <c r="I837" s="1125"/>
      <c r="J837" s="1126"/>
      <c r="K837" s="687"/>
      <c r="N837" s="685"/>
      <c r="O837" s="687"/>
      <c r="Q837" s="1126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G838" s="1130"/>
      <c r="H838" s="1124"/>
      <c r="I838" s="1125"/>
      <c r="J838" s="1126"/>
      <c r="K838" s="687"/>
      <c r="N838" s="685"/>
      <c r="O838" s="687"/>
      <c r="Q838" s="1126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G839" s="1130"/>
      <c r="H839" s="1124"/>
      <c r="I839" s="1125"/>
      <c r="J839" s="1126"/>
      <c r="K839" s="687"/>
      <c r="N839" s="685"/>
      <c r="O839" s="687"/>
      <c r="Q839" s="1126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G840" s="1130"/>
      <c r="H840" s="1124"/>
      <c r="I840" s="1125"/>
      <c r="J840" s="1126"/>
      <c r="K840" s="687"/>
      <c r="N840" s="685"/>
      <c r="O840" s="687"/>
      <c r="Q840" s="1126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G841" s="1130"/>
      <c r="H841" s="1124"/>
      <c r="I841" s="1125"/>
      <c r="J841" s="1126"/>
      <c r="K841" s="687"/>
      <c r="N841" s="685"/>
      <c r="O841" s="687"/>
      <c r="Q841" s="1126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G842" s="1130"/>
      <c r="H842" s="1124"/>
      <c r="I842" s="1125"/>
      <c r="J842" s="1126"/>
      <c r="K842" s="687"/>
      <c r="N842" s="685"/>
      <c r="O842" s="687"/>
      <c r="Q842" s="1126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G843" s="1130"/>
      <c r="H843" s="1124"/>
      <c r="I843" s="1125"/>
      <c r="J843" s="1126"/>
      <c r="K843" s="687"/>
      <c r="N843" s="685"/>
      <c r="O843" s="687"/>
      <c r="Q843" s="1126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G844" s="1130"/>
      <c r="H844" s="1124"/>
      <c r="I844" s="1125"/>
      <c r="J844" s="1126"/>
      <c r="K844" s="687"/>
      <c r="N844" s="685"/>
      <c r="O844" s="687"/>
      <c r="Q844" s="1126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G845" s="1130"/>
      <c r="H845" s="1124"/>
      <c r="I845" s="1125"/>
      <c r="J845" s="1126"/>
      <c r="K845" s="687"/>
      <c r="N845" s="685"/>
      <c r="O845" s="687"/>
      <c r="Q845" s="1126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G846" s="1130"/>
      <c r="H846" s="1124"/>
      <c r="I846" s="1125"/>
      <c r="J846" s="1126"/>
      <c r="K846" s="687"/>
      <c r="N846" s="685"/>
      <c r="O846" s="687"/>
      <c r="Q846" s="1126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G847" s="1130"/>
      <c r="H847" s="1124"/>
      <c r="I847" s="1125"/>
      <c r="J847" s="1126"/>
      <c r="K847" s="687"/>
      <c r="N847" s="685"/>
      <c r="O847" s="687"/>
      <c r="Q847" s="1126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G848" s="1130"/>
      <c r="H848" s="1124"/>
      <c r="I848" s="1125"/>
      <c r="J848" s="1126"/>
      <c r="K848" s="687"/>
      <c r="N848" s="685"/>
      <c r="O848" s="687"/>
      <c r="Q848" s="1126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G849" s="1130"/>
      <c r="H849" s="1124"/>
      <c r="I849" s="1125"/>
      <c r="J849" s="1126"/>
      <c r="K849" s="687"/>
      <c r="N849" s="685"/>
      <c r="O849" s="687"/>
      <c r="Q849" s="1126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G850" s="1130"/>
      <c r="H850" s="1124"/>
      <c r="I850" s="1125"/>
      <c r="J850" s="1126"/>
      <c r="K850" s="687"/>
      <c r="N850" s="685"/>
      <c r="O850" s="687"/>
      <c r="Q850" s="1126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G851" s="1130"/>
      <c r="H851" s="1124"/>
      <c r="I851" s="1125"/>
      <c r="J851" s="1126"/>
      <c r="K851" s="687"/>
      <c r="N851" s="685"/>
      <c r="O851" s="687"/>
      <c r="Q851" s="1126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G852" s="1130"/>
      <c r="H852" s="1124"/>
      <c r="I852" s="1125"/>
      <c r="J852" s="1126"/>
      <c r="K852" s="687"/>
      <c r="N852" s="685"/>
      <c r="O852" s="687"/>
      <c r="Q852" s="1126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G853" s="1130"/>
      <c r="H853" s="1124"/>
      <c r="I853" s="1125"/>
      <c r="J853" s="1126"/>
      <c r="K853" s="687"/>
      <c r="N853" s="685"/>
      <c r="O853" s="687"/>
      <c r="Q853" s="1126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G854" s="1130"/>
      <c r="H854" s="1124"/>
      <c r="I854" s="1125"/>
      <c r="J854" s="1126"/>
      <c r="K854" s="687"/>
      <c r="N854" s="685"/>
      <c r="O854" s="687"/>
      <c r="Q854" s="1126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G855" s="1130"/>
      <c r="H855" s="1124"/>
      <c r="I855" s="1125"/>
      <c r="J855" s="1126"/>
      <c r="K855" s="687"/>
      <c r="N855" s="685"/>
      <c r="O855" s="687"/>
      <c r="Q855" s="1126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G856" s="1130"/>
      <c r="H856" s="1124"/>
      <c r="I856" s="1125"/>
      <c r="J856" s="1126"/>
      <c r="K856" s="687"/>
      <c r="N856" s="685"/>
      <c r="O856" s="687"/>
      <c r="Q856" s="1126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G857" s="1130"/>
      <c r="H857" s="1124"/>
      <c r="I857" s="1125"/>
      <c r="J857" s="1126"/>
      <c r="K857" s="687"/>
      <c r="N857" s="685"/>
      <c r="O857" s="687"/>
      <c r="Q857" s="1126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G858" s="1130"/>
      <c r="H858" s="1124"/>
      <c r="I858" s="1125"/>
      <c r="J858" s="1126"/>
      <c r="K858" s="687"/>
      <c r="N858" s="685"/>
      <c r="O858" s="687"/>
      <c r="Q858" s="1126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G859" s="1130"/>
      <c r="H859" s="1124"/>
      <c r="I859" s="1125"/>
      <c r="J859" s="1126"/>
      <c r="K859" s="687"/>
      <c r="N859" s="685"/>
      <c r="O859" s="687"/>
      <c r="Q859" s="1126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G860" s="1130"/>
      <c r="H860" s="1124"/>
      <c r="I860" s="1125"/>
      <c r="J860" s="1126"/>
      <c r="K860" s="687"/>
      <c r="N860" s="685"/>
      <c r="O860" s="687"/>
      <c r="Q860" s="1126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G861" s="1130"/>
      <c r="H861" s="1124"/>
      <c r="I861" s="1125"/>
      <c r="J861" s="1126"/>
      <c r="K861" s="687"/>
      <c r="N861" s="685"/>
      <c r="O861" s="687"/>
      <c r="Q861" s="1126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G862" s="1130"/>
      <c r="H862" s="1124"/>
      <c r="I862" s="1125"/>
      <c r="J862" s="1126"/>
      <c r="K862" s="687"/>
      <c r="N862" s="685"/>
      <c r="O862" s="687"/>
      <c r="Q862" s="1126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G863" s="1130"/>
      <c r="H863" s="1124"/>
      <c r="I863" s="1125"/>
      <c r="J863" s="1126"/>
      <c r="K863" s="687"/>
      <c r="N863" s="685"/>
      <c r="O863" s="687"/>
      <c r="Q863" s="1126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G864" s="1130"/>
      <c r="H864" s="1124"/>
      <c r="I864" s="1125"/>
      <c r="J864" s="1126"/>
      <c r="K864" s="687"/>
      <c r="N864" s="685"/>
      <c r="O864" s="687"/>
      <c r="Q864" s="1126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G865" s="1130"/>
      <c r="H865" s="1124"/>
      <c r="I865" s="1125"/>
      <c r="J865" s="1126"/>
      <c r="K865" s="687"/>
      <c r="N865" s="685"/>
      <c r="O865" s="687"/>
      <c r="Q865" s="1126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G866" s="1130"/>
      <c r="H866" s="1124"/>
      <c r="I866" s="1125"/>
      <c r="J866" s="1126"/>
      <c r="K866" s="687"/>
      <c r="N866" s="685"/>
      <c r="O866" s="687"/>
      <c r="Q866" s="1126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G867" s="1130"/>
      <c r="H867" s="1124"/>
      <c r="I867" s="1125"/>
      <c r="J867" s="1126"/>
      <c r="K867" s="687"/>
      <c r="N867" s="685"/>
      <c r="O867" s="687"/>
      <c r="Q867" s="1126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G868" s="1130"/>
      <c r="H868" s="1124"/>
      <c r="I868" s="1125"/>
      <c r="J868" s="1126"/>
      <c r="K868" s="687"/>
      <c r="N868" s="685"/>
      <c r="O868" s="687"/>
      <c r="Q868" s="1126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G869" s="1130"/>
      <c r="H869" s="1124"/>
      <c r="I869" s="1125"/>
      <c r="J869" s="1126"/>
      <c r="K869" s="687"/>
      <c r="N869" s="685"/>
      <c r="O869" s="687"/>
      <c r="Q869" s="1126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G870" s="1130"/>
      <c r="H870" s="1124"/>
      <c r="I870" s="1125"/>
      <c r="J870" s="1126"/>
      <c r="K870" s="687"/>
      <c r="N870" s="685"/>
      <c r="O870" s="687"/>
      <c r="Q870" s="1126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G871" s="1130"/>
      <c r="H871" s="1124"/>
      <c r="I871" s="1125"/>
      <c r="J871" s="1126"/>
      <c r="K871" s="687"/>
      <c r="N871" s="685"/>
      <c r="O871" s="687"/>
      <c r="Q871" s="1126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G872" s="1130"/>
      <c r="H872" s="1124"/>
      <c r="I872" s="1125"/>
      <c r="J872" s="1126"/>
      <c r="K872" s="687"/>
      <c r="N872" s="685"/>
      <c r="O872" s="687"/>
      <c r="Q872" s="1126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G873" s="1130"/>
      <c r="H873" s="1124"/>
      <c r="I873" s="1125"/>
      <c r="J873" s="1126"/>
      <c r="K873" s="687"/>
      <c r="N873" s="685"/>
      <c r="O873" s="687"/>
      <c r="Q873" s="1126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G874" s="1130"/>
      <c r="H874" s="1124"/>
      <c r="I874" s="1125"/>
      <c r="J874" s="1126"/>
      <c r="K874" s="687"/>
      <c r="N874" s="685"/>
      <c r="O874" s="687"/>
      <c r="Q874" s="1126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G875" s="1130"/>
      <c r="H875" s="1124"/>
      <c r="I875" s="1125"/>
      <c r="J875" s="1126"/>
      <c r="K875" s="687"/>
      <c r="N875" s="685"/>
      <c r="O875" s="687"/>
      <c r="Q875" s="1126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G876" s="1130"/>
      <c r="H876" s="1124"/>
      <c r="I876" s="1125"/>
      <c r="J876" s="1126"/>
      <c r="K876" s="687"/>
      <c r="N876" s="685"/>
      <c r="O876" s="687"/>
      <c r="Q876" s="1126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G877" s="1130"/>
      <c r="H877" s="1124"/>
      <c r="I877" s="1125"/>
      <c r="J877" s="1126"/>
      <c r="K877" s="687"/>
      <c r="N877" s="685"/>
      <c r="O877" s="687"/>
      <c r="Q877" s="1126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G878" s="1130"/>
      <c r="H878" s="1124"/>
      <c r="I878" s="1125"/>
      <c r="J878" s="1126"/>
      <c r="K878" s="687"/>
      <c r="N878" s="685"/>
      <c r="O878" s="687"/>
      <c r="Q878" s="1126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G879" s="1130"/>
      <c r="H879" s="1124"/>
      <c r="I879" s="1125"/>
      <c r="J879" s="1126"/>
      <c r="K879" s="687"/>
      <c r="N879" s="685"/>
      <c r="O879" s="687"/>
      <c r="Q879" s="1126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G880" s="1130"/>
      <c r="H880" s="1124"/>
      <c r="I880" s="1125"/>
      <c r="J880" s="1126"/>
      <c r="K880" s="687"/>
      <c r="N880" s="685"/>
      <c r="O880" s="687"/>
      <c r="Q880" s="1126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G881" s="1130"/>
      <c r="H881" s="1124"/>
      <c r="I881" s="1125"/>
      <c r="J881" s="1126"/>
      <c r="K881" s="687"/>
      <c r="N881" s="685"/>
      <c r="O881" s="687"/>
      <c r="Q881" s="1126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G882" s="1130"/>
      <c r="H882" s="1124"/>
      <c r="I882" s="1125"/>
      <c r="J882" s="1126"/>
      <c r="K882" s="687"/>
      <c r="N882" s="685"/>
      <c r="O882" s="687"/>
      <c r="Q882" s="1126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G883" s="1130"/>
      <c r="H883" s="1124"/>
      <c r="I883" s="1125"/>
      <c r="J883" s="1126"/>
      <c r="K883" s="687"/>
      <c r="N883" s="685"/>
      <c r="O883" s="687"/>
      <c r="Q883" s="1126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G884" s="1130"/>
      <c r="H884" s="1124"/>
      <c r="I884" s="1125"/>
      <c r="J884" s="1126"/>
      <c r="K884" s="687"/>
      <c r="N884" s="685"/>
      <c r="O884" s="687"/>
      <c r="Q884" s="1126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G885" s="1130"/>
      <c r="H885" s="1124"/>
      <c r="I885" s="1125"/>
      <c r="J885" s="1126"/>
      <c r="K885" s="687"/>
      <c r="N885" s="685"/>
      <c r="O885" s="687"/>
      <c r="Q885" s="1126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G886" s="1130"/>
      <c r="H886" s="1124"/>
      <c r="I886" s="1125"/>
      <c r="J886" s="1126"/>
      <c r="K886" s="687"/>
      <c r="N886" s="685"/>
      <c r="O886" s="687"/>
      <c r="Q886" s="1126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G887" s="1130"/>
      <c r="H887" s="1124"/>
      <c r="I887" s="1125"/>
      <c r="J887" s="1126"/>
      <c r="K887" s="687"/>
      <c r="N887" s="685"/>
      <c r="O887" s="687"/>
      <c r="Q887" s="1126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G888" s="1130"/>
      <c r="H888" s="1124"/>
      <c r="I888" s="1125"/>
      <c r="J888" s="1126"/>
      <c r="K888" s="687"/>
      <c r="N888" s="685"/>
      <c r="O888" s="687"/>
      <c r="Q888" s="1126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G889" s="1130"/>
      <c r="H889" s="1124"/>
      <c r="I889" s="1125"/>
      <c r="J889" s="1126"/>
      <c r="K889" s="687"/>
      <c r="N889" s="685"/>
      <c r="O889" s="687"/>
      <c r="Q889" s="1126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G890" s="1130"/>
      <c r="H890" s="1124"/>
      <c r="I890" s="1125"/>
      <c r="J890" s="1126"/>
      <c r="K890" s="687"/>
      <c r="N890" s="685"/>
      <c r="O890" s="687"/>
      <c r="Q890" s="1126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G891" s="1130"/>
      <c r="H891" s="1124"/>
      <c r="I891" s="1125"/>
      <c r="J891" s="1126"/>
      <c r="K891" s="687"/>
      <c r="N891" s="685"/>
      <c r="O891" s="687"/>
      <c r="Q891" s="1126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G892" s="1130"/>
      <c r="H892" s="1124"/>
      <c r="I892" s="1125"/>
      <c r="J892" s="1126"/>
      <c r="K892" s="687"/>
      <c r="N892" s="685"/>
      <c r="O892" s="687"/>
      <c r="Q892" s="1126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G893" s="1130"/>
      <c r="H893" s="1124"/>
      <c r="I893" s="1125"/>
      <c r="J893" s="1126"/>
      <c r="K893" s="687"/>
      <c r="N893" s="685"/>
      <c r="O893" s="687"/>
      <c r="Q893" s="1126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G894" s="1130"/>
      <c r="H894" s="1124"/>
      <c r="I894" s="1125"/>
      <c r="J894" s="1126"/>
      <c r="K894" s="687"/>
      <c r="N894" s="685"/>
      <c r="O894" s="687"/>
      <c r="Q894" s="1126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G895" s="1130"/>
      <c r="H895" s="1124"/>
      <c r="I895" s="1125"/>
      <c r="J895" s="1126"/>
      <c r="K895" s="687"/>
      <c r="N895" s="685"/>
      <c r="O895" s="687"/>
      <c r="Q895" s="1126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G896" s="1130"/>
      <c r="H896" s="1124"/>
      <c r="I896" s="1125"/>
      <c r="J896" s="1126"/>
      <c r="K896" s="687"/>
      <c r="N896" s="685"/>
      <c r="O896" s="687"/>
      <c r="Q896" s="1126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G897" s="1130"/>
      <c r="H897" s="1124"/>
      <c r="I897" s="1125"/>
      <c r="J897" s="1126"/>
      <c r="K897" s="687"/>
      <c r="N897" s="685"/>
      <c r="O897" s="687"/>
      <c r="Q897" s="1126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G898" s="1130"/>
      <c r="H898" s="1124"/>
      <c r="I898" s="1125"/>
      <c r="J898" s="1126"/>
      <c r="K898" s="687"/>
      <c r="N898" s="685"/>
      <c r="O898" s="687"/>
      <c r="Q898" s="1126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G899" s="1130"/>
      <c r="H899" s="1124"/>
      <c r="I899" s="1125"/>
      <c r="J899" s="1126"/>
      <c r="K899" s="687"/>
      <c r="N899" s="685"/>
      <c r="O899" s="687"/>
      <c r="Q899" s="1126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G900" s="1130"/>
      <c r="H900" s="1124"/>
      <c r="I900" s="1125"/>
      <c r="J900" s="1126"/>
      <c r="K900" s="687"/>
      <c r="N900" s="685"/>
      <c r="O900" s="687"/>
      <c r="Q900" s="1126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G901" s="1130"/>
      <c r="H901" s="1124"/>
      <c r="I901" s="1125"/>
      <c r="J901" s="1126"/>
      <c r="K901" s="687"/>
      <c r="N901" s="685"/>
      <c r="O901" s="687"/>
      <c r="Q901" s="1126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G902" s="1130"/>
      <c r="H902" s="1124"/>
      <c r="I902" s="1125"/>
      <c r="J902" s="1126"/>
      <c r="K902" s="687"/>
      <c r="N902" s="685"/>
      <c r="O902" s="687"/>
      <c r="Q902" s="1126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G903" s="1130"/>
      <c r="H903" s="1124"/>
      <c r="I903" s="1125"/>
      <c r="J903" s="1126"/>
      <c r="K903" s="687"/>
      <c r="N903" s="685"/>
      <c r="O903" s="687"/>
      <c r="Q903" s="1126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G904" s="1130"/>
      <c r="H904" s="1124"/>
      <c r="I904" s="1125"/>
      <c r="J904" s="1126"/>
      <c r="K904" s="687"/>
      <c r="N904" s="685"/>
      <c r="O904" s="687"/>
      <c r="Q904" s="1126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G905" s="1130"/>
      <c r="H905" s="1124"/>
      <c r="I905" s="1125"/>
      <c r="J905" s="1126"/>
      <c r="K905" s="687"/>
      <c r="N905" s="685"/>
      <c r="O905" s="687"/>
      <c r="Q905" s="1126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G906" s="1130"/>
      <c r="H906" s="1124"/>
      <c r="I906" s="1125"/>
      <c r="J906" s="1126"/>
      <c r="K906" s="687"/>
      <c r="N906" s="685"/>
      <c r="O906" s="687"/>
      <c r="Q906" s="1126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G907" s="1130"/>
      <c r="H907" s="1124"/>
      <c r="I907" s="1125"/>
      <c r="J907" s="1126"/>
      <c r="K907" s="687"/>
      <c r="N907" s="685"/>
      <c r="O907" s="687"/>
      <c r="Q907" s="1126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G908" s="1130"/>
      <c r="H908" s="1124"/>
      <c r="I908" s="1125"/>
      <c r="J908" s="1126"/>
      <c r="K908" s="687"/>
      <c r="N908" s="685"/>
      <c r="O908" s="687"/>
      <c r="Q908" s="1126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G909" s="1130"/>
      <c r="H909" s="1124"/>
      <c r="I909" s="1125"/>
      <c r="J909" s="1126"/>
      <c r="K909" s="687"/>
      <c r="N909" s="685"/>
      <c r="O909" s="687"/>
      <c r="Q909" s="1126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G910" s="1130"/>
      <c r="H910" s="1124"/>
      <c r="I910" s="1125"/>
      <c r="J910" s="1126"/>
      <c r="K910" s="687"/>
      <c r="N910" s="685"/>
      <c r="O910" s="687"/>
      <c r="Q910" s="1126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G911" s="1130"/>
      <c r="H911" s="1124"/>
      <c r="I911" s="1125"/>
      <c r="J911" s="1126"/>
      <c r="K911" s="687"/>
      <c r="N911" s="685"/>
      <c r="O911" s="687"/>
      <c r="Q911" s="1126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G912" s="1130"/>
      <c r="H912" s="1124"/>
      <c r="I912" s="1125"/>
      <c r="J912" s="1126"/>
      <c r="K912" s="687"/>
      <c r="N912" s="685"/>
      <c r="O912" s="687"/>
      <c r="Q912" s="1126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G913" s="1130"/>
      <c r="H913" s="1124"/>
      <c r="I913" s="1125"/>
      <c r="J913" s="1126"/>
      <c r="K913" s="687"/>
      <c r="N913" s="685"/>
      <c r="O913" s="687"/>
      <c r="Q913" s="1126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G914" s="1130"/>
      <c r="H914" s="1124"/>
      <c r="I914" s="1125"/>
      <c r="J914" s="1126"/>
      <c r="K914" s="687"/>
      <c r="N914" s="685"/>
      <c r="O914" s="687"/>
      <c r="Q914" s="1126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G915" s="1130"/>
      <c r="H915" s="1124"/>
      <c r="I915" s="1125"/>
      <c r="J915" s="1126"/>
      <c r="K915" s="687"/>
      <c r="N915" s="685"/>
      <c r="O915" s="687"/>
      <c r="Q915" s="1126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G916" s="1130"/>
      <c r="H916" s="1124"/>
      <c r="I916" s="1125"/>
      <c r="J916" s="1126"/>
      <c r="K916" s="687"/>
      <c r="N916" s="685"/>
      <c r="O916" s="687"/>
      <c r="Q916" s="1126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G917" s="1130"/>
      <c r="H917" s="1124"/>
      <c r="I917" s="1125"/>
      <c r="J917" s="1126"/>
      <c r="K917" s="687"/>
      <c r="N917" s="685"/>
      <c r="O917" s="687"/>
      <c r="Q917" s="1126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G918" s="1130"/>
      <c r="H918" s="1124"/>
      <c r="I918" s="1125"/>
      <c r="J918" s="1126"/>
      <c r="K918" s="687"/>
      <c r="N918" s="685"/>
      <c r="O918" s="687"/>
      <c r="Q918" s="1126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G919" s="1130"/>
      <c r="H919" s="1124"/>
      <c r="I919" s="1125"/>
      <c r="J919" s="1126"/>
      <c r="K919" s="687"/>
      <c r="N919" s="685"/>
      <c r="O919" s="687"/>
      <c r="Q919" s="1126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G920" s="1130"/>
      <c r="H920" s="1124"/>
      <c r="I920" s="1125"/>
      <c r="J920" s="1126"/>
      <c r="K920" s="687"/>
      <c r="N920" s="685"/>
      <c r="O920" s="687"/>
      <c r="Q920" s="1126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G921" s="1130"/>
      <c r="H921" s="1124"/>
      <c r="I921" s="1125"/>
      <c r="J921" s="1126"/>
      <c r="K921" s="687"/>
      <c r="N921" s="685"/>
      <c r="O921" s="687"/>
      <c r="Q921" s="1126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G922" s="1130"/>
      <c r="H922" s="1124"/>
      <c r="I922" s="1125"/>
      <c r="J922" s="1126"/>
      <c r="K922" s="687"/>
      <c r="N922" s="685"/>
      <c r="O922" s="687"/>
      <c r="Q922" s="1126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G923" s="1130"/>
      <c r="H923" s="1124"/>
      <c r="I923" s="1125"/>
      <c r="J923" s="1126"/>
      <c r="K923" s="687"/>
      <c r="N923" s="685"/>
      <c r="O923" s="687"/>
      <c r="Q923" s="1126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G924" s="1130"/>
      <c r="H924" s="1124"/>
      <c r="I924" s="1125"/>
      <c r="J924" s="1126"/>
      <c r="K924" s="687"/>
      <c r="N924" s="685"/>
      <c r="O924" s="687"/>
      <c r="Q924" s="1126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G925" s="1130"/>
      <c r="H925" s="1124"/>
      <c r="I925" s="1125"/>
      <c r="J925" s="1126"/>
      <c r="K925" s="687"/>
      <c r="N925" s="685"/>
      <c r="O925" s="687"/>
      <c r="Q925" s="1126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G926" s="1130"/>
      <c r="H926" s="1124"/>
      <c r="I926" s="1125"/>
      <c r="J926" s="1126"/>
      <c r="K926" s="687"/>
      <c r="N926" s="685"/>
      <c r="O926" s="687"/>
      <c r="Q926" s="1126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G927" s="1130"/>
      <c r="H927" s="1124"/>
      <c r="I927" s="1125"/>
      <c r="J927" s="1126"/>
      <c r="K927" s="687"/>
      <c r="N927" s="685"/>
      <c r="O927" s="687"/>
      <c r="Q927" s="1126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G928" s="1130"/>
      <c r="H928" s="1124"/>
      <c r="I928" s="1125"/>
      <c r="J928" s="1126"/>
      <c r="K928" s="687"/>
      <c r="N928" s="685"/>
      <c r="O928" s="687"/>
      <c r="Q928" s="1126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G929" s="1130"/>
      <c r="H929" s="1124"/>
      <c r="I929" s="1125"/>
      <c r="J929" s="1126"/>
      <c r="K929" s="687"/>
      <c r="N929" s="685"/>
      <c r="O929" s="687"/>
      <c r="Q929" s="1126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G930" s="1130"/>
      <c r="H930" s="1124"/>
      <c r="I930" s="1125"/>
      <c r="J930" s="1126"/>
      <c r="K930" s="687"/>
      <c r="N930" s="685"/>
      <c r="O930" s="687"/>
      <c r="Q930" s="1126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G931" s="1130"/>
      <c r="H931" s="1124"/>
      <c r="I931" s="1125"/>
      <c r="J931" s="1126"/>
      <c r="K931" s="687"/>
      <c r="N931" s="685"/>
      <c r="O931" s="687"/>
      <c r="Q931" s="1126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G932" s="1130"/>
      <c r="H932" s="1124"/>
      <c r="I932" s="1125"/>
      <c r="J932" s="1126"/>
      <c r="K932" s="687"/>
      <c r="N932" s="685"/>
      <c r="O932" s="687"/>
      <c r="Q932" s="1126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G933" s="1130"/>
      <c r="H933" s="1124"/>
      <c r="I933" s="1125"/>
      <c r="J933" s="1126"/>
      <c r="K933" s="687"/>
      <c r="N933" s="685"/>
      <c r="O933" s="687"/>
      <c r="Q933" s="1126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G934" s="1130"/>
      <c r="H934" s="1124"/>
      <c r="I934" s="1125"/>
      <c r="J934" s="1126"/>
      <c r="K934" s="687"/>
      <c r="N934" s="685"/>
      <c r="O934" s="687"/>
      <c r="Q934" s="1126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G935" s="1130"/>
      <c r="H935" s="1124"/>
      <c r="I935" s="1125"/>
      <c r="J935" s="1126"/>
      <c r="K935" s="687"/>
      <c r="N935" s="685"/>
      <c r="O935" s="687"/>
      <c r="Q935" s="1126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G936" s="1130"/>
      <c r="H936" s="1124"/>
      <c r="I936" s="1125"/>
      <c r="J936" s="1126"/>
      <c r="K936" s="687"/>
      <c r="N936" s="685"/>
      <c r="O936" s="687"/>
      <c r="Q936" s="1126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G937" s="1130"/>
      <c r="H937" s="1124"/>
      <c r="I937" s="1125"/>
      <c r="J937" s="1126"/>
      <c r="K937" s="687"/>
      <c r="N937" s="685"/>
      <c r="O937" s="687"/>
      <c r="Q937" s="1126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G938" s="1130"/>
      <c r="H938" s="1124"/>
      <c r="I938" s="1125"/>
      <c r="J938" s="1126"/>
      <c r="K938" s="687"/>
      <c r="N938" s="685"/>
      <c r="O938" s="687"/>
      <c r="Q938" s="1126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G939" s="1130"/>
      <c r="H939" s="1124"/>
      <c r="I939" s="1125"/>
      <c r="J939" s="1126"/>
      <c r="K939" s="687"/>
      <c r="N939" s="685"/>
      <c r="O939" s="687"/>
      <c r="Q939" s="1126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G940" s="1130"/>
      <c r="H940" s="1124"/>
      <c r="I940" s="1125"/>
      <c r="J940" s="1126"/>
      <c r="K940" s="687"/>
      <c r="N940" s="685"/>
      <c r="O940" s="687"/>
      <c r="Q940" s="1126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G941" s="1130"/>
      <c r="H941" s="1124"/>
      <c r="I941" s="1125"/>
      <c r="J941" s="1126"/>
      <c r="K941" s="687"/>
      <c r="N941" s="685"/>
      <c r="O941" s="687"/>
      <c r="Q941" s="1126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G942" s="1130"/>
      <c r="H942" s="1124"/>
      <c r="I942" s="1125"/>
      <c r="J942" s="1126"/>
      <c r="K942" s="687"/>
      <c r="N942" s="685"/>
      <c r="O942" s="687"/>
      <c r="Q942" s="1126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G943" s="1130"/>
      <c r="H943" s="1124"/>
      <c r="I943" s="1125"/>
      <c r="J943" s="1126"/>
      <c r="K943" s="687"/>
      <c r="N943" s="685"/>
      <c r="O943" s="687"/>
      <c r="Q943" s="1126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G944" s="1130"/>
      <c r="H944" s="1124"/>
      <c r="I944" s="1125"/>
      <c r="J944" s="1126"/>
      <c r="K944" s="687"/>
      <c r="N944" s="685"/>
      <c r="O944" s="687"/>
      <c r="Q944" s="1126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G945" s="1130"/>
      <c r="H945" s="1124"/>
      <c r="I945" s="1125"/>
      <c r="J945" s="1126"/>
      <c r="K945" s="687"/>
      <c r="N945" s="685"/>
      <c r="O945" s="687"/>
      <c r="Q945" s="1126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G946" s="1130"/>
      <c r="H946" s="1124"/>
      <c r="I946" s="1125"/>
      <c r="J946" s="1126"/>
      <c r="K946" s="687"/>
      <c r="N946" s="685"/>
      <c r="O946" s="687"/>
      <c r="Q946" s="1126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G947" s="1130"/>
      <c r="H947" s="1124"/>
      <c r="I947" s="1125"/>
      <c r="J947" s="1126"/>
      <c r="K947" s="687"/>
      <c r="N947" s="685"/>
      <c r="O947" s="687"/>
      <c r="Q947" s="1126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G948" s="1130"/>
      <c r="H948" s="1124"/>
      <c r="I948" s="1125"/>
      <c r="J948" s="1126"/>
      <c r="K948" s="687"/>
      <c r="N948" s="685"/>
      <c r="O948" s="687"/>
      <c r="Q948" s="1126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G949" s="1130"/>
      <c r="H949" s="1124"/>
      <c r="I949" s="1125"/>
      <c r="J949" s="1126"/>
      <c r="K949" s="687"/>
      <c r="N949" s="685"/>
      <c r="O949" s="687"/>
      <c r="Q949" s="1126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G950" s="1130"/>
      <c r="H950" s="1124"/>
      <c r="I950" s="1125"/>
      <c r="J950" s="1126"/>
      <c r="K950" s="687"/>
      <c r="N950" s="685"/>
      <c r="O950" s="687"/>
      <c r="Q950" s="1126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G951" s="1130"/>
      <c r="H951" s="1124"/>
      <c r="I951" s="1125"/>
      <c r="J951" s="1126"/>
      <c r="K951" s="687"/>
      <c r="N951" s="685"/>
      <c r="O951" s="687"/>
      <c r="Q951" s="1126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G952" s="1130"/>
      <c r="H952" s="1124"/>
      <c r="I952" s="1125"/>
      <c r="J952" s="1126"/>
      <c r="K952" s="687"/>
      <c r="N952" s="685"/>
      <c r="O952" s="687"/>
      <c r="Q952" s="1126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G953" s="1130"/>
      <c r="H953" s="1124"/>
      <c r="I953" s="1125"/>
      <c r="J953" s="1126"/>
      <c r="K953" s="687"/>
      <c r="N953" s="685"/>
      <c r="O953" s="687"/>
      <c r="Q953" s="1126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G954" s="1130"/>
      <c r="H954" s="1124"/>
      <c r="I954" s="1125"/>
      <c r="J954" s="1126"/>
      <c r="K954" s="687"/>
      <c r="N954" s="685"/>
      <c r="O954" s="687"/>
      <c r="Q954" s="1126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G955" s="1130"/>
      <c r="H955" s="1124"/>
      <c r="I955" s="1125"/>
      <c r="J955" s="1126"/>
      <c r="K955" s="687"/>
      <c r="N955" s="685"/>
      <c r="O955" s="687"/>
      <c r="Q955" s="1126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G956" s="1130"/>
      <c r="H956" s="1124"/>
      <c r="I956" s="1125"/>
      <c r="J956" s="1126"/>
      <c r="K956" s="687"/>
      <c r="N956" s="685"/>
      <c r="O956" s="687"/>
      <c r="Q956" s="1126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G957" s="1130"/>
      <c r="H957" s="1124"/>
      <c r="I957" s="1125"/>
      <c r="J957" s="1126"/>
      <c r="K957" s="687"/>
      <c r="N957" s="685"/>
      <c r="O957" s="687"/>
      <c r="Q957" s="1126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G958" s="1130"/>
      <c r="H958" s="1124"/>
      <c r="I958" s="1125"/>
      <c r="J958" s="1126"/>
      <c r="K958" s="687"/>
      <c r="N958" s="685"/>
      <c r="O958" s="687"/>
      <c r="Q958" s="1126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G959" s="1130"/>
      <c r="H959" s="1124"/>
      <c r="I959" s="1125"/>
      <c r="J959" s="1126"/>
      <c r="K959" s="687"/>
      <c r="N959" s="685"/>
      <c r="O959" s="687"/>
      <c r="Q959" s="1126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G960" s="1130"/>
      <c r="H960" s="1124"/>
      <c r="I960" s="1125"/>
      <c r="J960" s="1126"/>
      <c r="K960" s="687"/>
      <c r="N960" s="685"/>
      <c r="O960" s="687"/>
      <c r="Q960" s="1126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G961" s="1130"/>
      <c r="H961" s="1124"/>
      <c r="I961" s="1125"/>
      <c r="J961" s="1126"/>
      <c r="K961" s="687"/>
      <c r="N961" s="685"/>
      <c r="O961" s="687"/>
      <c r="Q961" s="1126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G962" s="1130"/>
      <c r="H962" s="1124"/>
      <c r="I962" s="1125"/>
      <c r="J962" s="1126"/>
      <c r="K962" s="687"/>
      <c r="N962" s="685"/>
      <c r="O962" s="687"/>
      <c r="Q962" s="1126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G963" s="1130"/>
      <c r="H963" s="1124"/>
      <c r="I963" s="1125"/>
      <c r="J963" s="1126"/>
      <c r="K963" s="687"/>
      <c r="N963" s="685"/>
      <c r="O963" s="687"/>
      <c r="Q963" s="1126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G964" s="1130"/>
      <c r="H964" s="1124"/>
      <c r="I964" s="1125"/>
      <c r="J964" s="1126"/>
      <c r="K964" s="687"/>
      <c r="N964" s="685"/>
      <c r="O964" s="687"/>
      <c r="Q964" s="1126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G965" s="1130"/>
      <c r="H965" s="1124"/>
      <c r="I965" s="1125"/>
      <c r="J965" s="1126"/>
      <c r="K965" s="687"/>
      <c r="N965" s="685"/>
      <c r="O965" s="687"/>
      <c r="Q965" s="1126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G966" s="1130"/>
      <c r="H966" s="1124"/>
      <c r="I966" s="1125"/>
      <c r="J966" s="1126"/>
      <c r="K966" s="687"/>
      <c r="N966" s="685"/>
      <c r="O966" s="687"/>
      <c r="Q966" s="1126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G967" s="1130"/>
      <c r="H967" s="1124"/>
      <c r="I967" s="1125"/>
      <c r="J967" s="1126"/>
      <c r="K967" s="687"/>
      <c r="N967" s="685"/>
      <c r="O967" s="687"/>
      <c r="Q967" s="1126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G968" s="1130"/>
      <c r="H968" s="1124"/>
      <c r="I968" s="1125"/>
      <c r="J968" s="1126"/>
      <c r="K968" s="687"/>
      <c r="N968" s="685"/>
      <c r="O968" s="687"/>
      <c r="Q968" s="1126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G969" s="1130"/>
      <c r="H969" s="1124"/>
      <c r="I969" s="1125"/>
      <c r="J969" s="1126"/>
      <c r="K969" s="687"/>
      <c r="N969" s="685"/>
      <c r="O969" s="687"/>
      <c r="Q969" s="1126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G970" s="1130"/>
      <c r="H970" s="1124"/>
      <c r="I970" s="1125"/>
      <c r="J970" s="1126"/>
      <c r="K970" s="687"/>
      <c r="N970" s="685"/>
      <c r="O970" s="687"/>
      <c r="Q970" s="1126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G971" s="1130"/>
      <c r="H971" s="1124"/>
      <c r="I971" s="1125"/>
      <c r="J971" s="1126"/>
      <c r="K971" s="687"/>
      <c r="N971" s="685"/>
      <c r="O971" s="687"/>
      <c r="Q971" s="1126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G972" s="1130"/>
      <c r="H972" s="1124"/>
      <c r="I972" s="1125"/>
      <c r="J972" s="1126"/>
      <c r="K972" s="687"/>
      <c r="N972" s="685"/>
      <c r="O972" s="687"/>
      <c r="Q972" s="1126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G973" s="1130"/>
      <c r="H973" s="1124"/>
      <c r="I973" s="1125"/>
      <c r="J973" s="1126"/>
      <c r="K973" s="687"/>
      <c r="N973" s="685"/>
      <c r="O973" s="687"/>
      <c r="Q973" s="1126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G974" s="1130"/>
      <c r="H974" s="1124"/>
      <c r="I974" s="1125"/>
      <c r="J974" s="1126"/>
      <c r="K974" s="687"/>
      <c r="N974" s="685"/>
      <c r="O974" s="687"/>
      <c r="Q974" s="1126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G975" s="1130"/>
      <c r="H975" s="1124"/>
      <c r="I975" s="1125"/>
      <c r="J975" s="1126"/>
      <c r="K975" s="687"/>
      <c r="N975" s="685"/>
      <c r="O975" s="687"/>
      <c r="Q975" s="1126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G976" s="1130"/>
      <c r="H976" s="1124"/>
      <c r="I976" s="1125"/>
      <c r="J976" s="1126"/>
      <c r="K976" s="687"/>
      <c r="N976" s="685"/>
      <c r="O976" s="687"/>
      <c r="Q976" s="1126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G977" s="1130"/>
      <c r="H977" s="1124"/>
      <c r="I977" s="1125"/>
      <c r="J977" s="1126"/>
      <c r="K977" s="687"/>
      <c r="N977" s="685"/>
      <c r="O977" s="687"/>
      <c r="Q977" s="1126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G978" s="1130"/>
      <c r="H978" s="1124"/>
      <c r="I978" s="1125"/>
      <c r="J978" s="1126"/>
      <c r="K978" s="687"/>
      <c r="N978" s="685"/>
      <c r="O978" s="687"/>
      <c r="Q978" s="1126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G979" s="1130"/>
      <c r="H979" s="1124"/>
      <c r="I979" s="1125"/>
      <c r="J979" s="1126"/>
      <c r="K979" s="687"/>
      <c r="N979" s="685"/>
      <c r="O979" s="687"/>
      <c r="Q979" s="1126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G980" s="1130"/>
      <c r="H980" s="1124"/>
      <c r="I980" s="1125"/>
      <c r="J980" s="1126"/>
      <c r="K980" s="687"/>
      <c r="N980" s="685"/>
      <c r="O980" s="687"/>
      <c r="Q980" s="1126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G981" s="1130"/>
      <c r="H981" s="1124"/>
      <c r="I981" s="1125"/>
      <c r="J981" s="1126"/>
      <c r="K981" s="687"/>
      <c r="N981" s="685"/>
      <c r="O981" s="687"/>
      <c r="Q981" s="1126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G982" s="1130"/>
      <c r="H982" s="1124"/>
      <c r="I982" s="1125"/>
      <c r="J982" s="1126"/>
      <c r="K982" s="687"/>
      <c r="N982" s="685"/>
      <c r="O982" s="687"/>
      <c r="Q982" s="1126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G983" s="1130"/>
      <c r="H983" s="1124"/>
      <c r="I983" s="1125"/>
      <c r="J983" s="1126"/>
      <c r="K983" s="687"/>
      <c r="N983" s="685"/>
      <c r="O983" s="687"/>
      <c r="Q983" s="1126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G984" s="1130"/>
      <c r="H984" s="1124"/>
      <c r="I984" s="1125"/>
      <c r="J984" s="1126"/>
      <c r="K984" s="687"/>
      <c r="N984" s="685"/>
      <c r="O984" s="687"/>
      <c r="Q984" s="1126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G985" s="1130"/>
      <c r="H985" s="1124"/>
      <c r="I985" s="1125"/>
      <c r="J985" s="1126"/>
      <c r="K985" s="687"/>
      <c r="N985" s="685"/>
      <c r="O985" s="687"/>
      <c r="Q985" s="1126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G986" s="1130"/>
      <c r="H986" s="1124"/>
      <c r="I986" s="1125"/>
      <c r="J986" s="1126"/>
      <c r="K986" s="687"/>
      <c r="N986" s="685"/>
      <c r="O986" s="687"/>
      <c r="Q986" s="1126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G987" s="1130"/>
      <c r="H987" s="1124"/>
      <c r="I987" s="1125"/>
      <c r="J987" s="1126"/>
      <c r="K987" s="687"/>
      <c r="N987" s="685"/>
      <c r="O987" s="687"/>
      <c r="Q987" s="1126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G988" s="1130"/>
      <c r="H988" s="1124"/>
      <c r="I988" s="1125"/>
      <c r="J988" s="1126"/>
      <c r="K988" s="687"/>
      <c r="N988" s="685"/>
      <c r="O988" s="687"/>
      <c r="Q988" s="1126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G989" s="1130"/>
      <c r="H989" s="1124"/>
      <c r="I989" s="1125"/>
      <c r="J989" s="1126"/>
      <c r="K989" s="687"/>
      <c r="N989" s="685"/>
      <c r="O989" s="687"/>
      <c r="Q989" s="1126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G990" s="1130"/>
      <c r="H990" s="1124"/>
      <c r="I990" s="1125"/>
      <c r="J990" s="1126"/>
      <c r="K990" s="687"/>
      <c r="N990" s="685"/>
      <c r="O990" s="687"/>
      <c r="Q990" s="1126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G991" s="1130"/>
      <c r="H991" s="1124"/>
      <c r="I991" s="1125"/>
      <c r="J991" s="1126"/>
      <c r="K991" s="687"/>
      <c r="N991" s="685"/>
      <c r="O991" s="687"/>
      <c r="Q991" s="1126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G992" s="1130"/>
      <c r="H992" s="1124"/>
      <c r="I992" s="1125"/>
      <c r="J992" s="1126"/>
      <c r="K992" s="687"/>
      <c r="N992" s="685"/>
      <c r="O992" s="687"/>
      <c r="Q992" s="1126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G993" s="1130"/>
      <c r="H993" s="1124"/>
      <c r="I993" s="1125"/>
      <c r="J993" s="1126"/>
      <c r="K993" s="687"/>
      <c r="N993" s="685"/>
      <c r="O993" s="687"/>
      <c r="Q993" s="1126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G994" s="1130"/>
      <c r="H994" s="1124"/>
      <c r="I994" s="1125"/>
      <c r="J994" s="1126"/>
      <c r="K994" s="687"/>
      <c r="N994" s="685"/>
      <c r="O994" s="687"/>
      <c r="Q994" s="1126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G995" s="1130"/>
      <c r="H995" s="1124"/>
      <c r="I995" s="1125"/>
      <c r="J995" s="1126"/>
      <c r="K995" s="687"/>
      <c r="N995" s="685"/>
      <c r="O995" s="687"/>
      <c r="Q995" s="1126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G996" s="1130"/>
      <c r="H996" s="1124"/>
      <c r="I996" s="1125"/>
      <c r="J996" s="1126"/>
      <c r="K996" s="687"/>
      <c r="N996" s="685"/>
      <c r="O996" s="687"/>
      <c r="Q996" s="1126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G997" s="1130"/>
      <c r="H997" s="1124"/>
      <c r="I997" s="1125"/>
      <c r="J997" s="1126"/>
      <c r="K997" s="687"/>
      <c r="N997" s="685"/>
      <c r="O997" s="687"/>
      <c r="Q997" s="1126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G998" s="1130"/>
      <c r="H998" s="1124"/>
      <c r="I998" s="1125"/>
      <c r="J998" s="1126"/>
      <c r="K998" s="687"/>
      <c r="N998" s="685"/>
      <c r="O998" s="687"/>
      <c r="Q998" s="1126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G999" s="1130"/>
      <c r="H999" s="1124"/>
      <c r="I999" s="1125"/>
      <c r="J999" s="1126"/>
      <c r="K999" s="687"/>
      <c r="N999" s="685"/>
      <c r="O999" s="687"/>
      <c r="Q999" s="1126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G1000" s="1130"/>
      <c r="H1000" s="1124"/>
      <c r="I1000" s="1125"/>
      <c r="J1000" s="1126"/>
      <c r="K1000" s="687"/>
      <c r="N1000" s="685"/>
      <c r="O1000" s="687"/>
      <c r="Q1000" s="1126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>
      <c r="A1001" s="2"/>
      <c r="G1001" s="1130"/>
      <c r="H1001" s="1124"/>
      <c r="I1001" s="1125"/>
      <c r="J1001" s="1126"/>
      <c r="K1001" s="687"/>
      <c r="N1001" s="685"/>
      <c r="O1001" s="687"/>
      <c r="Q1001" s="1126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>
      <c r="A1002" s="2"/>
      <c r="G1002" s="1130"/>
      <c r="H1002" s="1124"/>
      <c r="I1002" s="1125"/>
      <c r="J1002" s="1126"/>
      <c r="K1002" s="687"/>
      <c r="N1002" s="685"/>
      <c r="O1002" s="687"/>
      <c r="Q1002" s="1126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.75" customHeight="1">
      <c r="A1003" s="2"/>
      <c r="G1003" s="1130"/>
      <c r="H1003" s="1124"/>
      <c r="I1003" s="1125"/>
      <c r="J1003" s="1126"/>
      <c r="K1003" s="687"/>
      <c r="N1003" s="685"/>
      <c r="O1003" s="687"/>
      <c r="Q1003" s="1126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5.75" customHeight="1">
      <c r="A1004" s="2"/>
      <c r="G1004" s="1130"/>
      <c r="H1004" s="1124"/>
      <c r="I1004" s="1125"/>
      <c r="J1004" s="1126"/>
      <c r="K1004" s="687"/>
      <c r="N1004" s="685"/>
      <c r="O1004" s="687"/>
      <c r="Q1004" s="1126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5.75" customHeight="1">
      <c r="A1005" s="2"/>
      <c r="G1005" s="1130"/>
      <c r="H1005" s="1124"/>
      <c r="I1005" s="1125"/>
      <c r="J1005" s="1126"/>
      <c r="K1005" s="687"/>
      <c r="N1005" s="685"/>
      <c r="O1005" s="687"/>
      <c r="Q1005" s="1126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5.75" customHeight="1">
      <c r="A1006" s="2"/>
      <c r="G1006" s="1130"/>
      <c r="H1006" s="1124"/>
      <c r="I1006" s="1125"/>
      <c r="J1006" s="1126"/>
      <c r="K1006" s="687"/>
      <c r="N1006" s="685"/>
      <c r="O1006" s="687"/>
      <c r="Q1006" s="1126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ht="15.75" customHeight="1">
      <c r="A1007" s="2"/>
      <c r="G1007" s="1130"/>
      <c r="H1007" s="1124"/>
      <c r="I1007" s="1125"/>
      <c r="J1007" s="1126"/>
      <c r="K1007" s="687"/>
      <c r="N1007" s="685"/>
      <c r="O1007" s="687"/>
      <c r="Q1007" s="1126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ht="15.75" customHeight="1">
      <c r="A1008" s="2"/>
      <c r="G1008" s="1130"/>
      <c r="H1008" s="1124"/>
      <c r="I1008" s="1125"/>
      <c r="J1008" s="1126"/>
      <c r="K1008" s="687"/>
      <c r="N1008" s="685"/>
      <c r="O1008" s="687"/>
      <c r="Q1008" s="1126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ht="15.75" customHeight="1">
      <c r="A1009" s="2"/>
      <c r="G1009" s="1130"/>
      <c r="H1009" s="1124"/>
      <c r="I1009" s="1125"/>
      <c r="J1009" s="1126"/>
      <c r="K1009" s="687"/>
      <c r="N1009" s="685"/>
      <c r="O1009" s="687"/>
      <c r="Q1009" s="1126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ht="15.75" customHeight="1">
      <c r="A1010" s="2"/>
      <c r="G1010" s="1130"/>
      <c r="H1010" s="1124"/>
      <c r="I1010" s="1125"/>
      <c r="J1010" s="1126"/>
      <c r="K1010" s="687"/>
      <c r="N1010" s="685"/>
      <c r="O1010" s="687"/>
      <c r="Q1010" s="1126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ht="15.75" customHeight="1">
      <c r="A1011" s="2"/>
      <c r="G1011" s="1130"/>
      <c r="H1011" s="1124"/>
      <c r="I1011" s="1125"/>
      <c r="J1011" s="1126"/>
      <c r="K1011" s="687"/>
      <c r="N1011" s="685"/>
      <c r="O1011" s="687"/>
      <c r="Q1011" s="1126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ht="15.75" customHeight="1">
      <c r="A1012" s="2"/>
      <c r="G1012" s="1130"/>
      <c r="H1012" s="1124"/>
      <c r="I1012" s="1125"/>
      <c r="J1012" s="1126"/>
      <c r="K1012" s="687"/>
      <c r="N1012" s="685"/>
      <c r="O1012" s="687"/>
      <c r="Q1012" s="1126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ht="15.75" customHeight="1">
      <c r="A1013" s="2"/>
      <c r="G1013" s="1130"/>
      <c r="H1013" s="1124"/>
      <c r="I1013" s="1125"/>
      <c r="J1013" s="1126"/>
      <c r="K1013" s="687"/>
      <c r="N1013" s="685"/>
      <c r="O1013" s="687"/>
      <c r="Q1013" s="1126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ht="15.75" customHeight="1">
      <c r="A1014" s="2"/>
      <c r="G1014" s="1130"/>
      <c r="H1014" s="1124"/>
      <c r="I1014" s="1125"/>
      <c r="J1014" s="1126"/>
      <c r="K1014" s="687"/>
      <c r="N1014" s="685"/>
      <c r="O1014" s="687"/>
      <c r="Q1014" s="1126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ht="15.75" customHeight="1">
      <c r="A1015" s="2"/>
      <c r="G1015" s="1130"/>
      <c r="H1015" s="1124"/>
      <c r="I1015" s="1125"/>
      <c r="J1015" s="1126"/>
      <c r="K1015" s="687"/>
      <c r="N1015" s="685"/>
      <c r="O1015" s="687"/>
      <c r="Q1015" s="1126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ht="15.75" customHeight="1">
      <c r="A1016" s="2"/>
      <c r="G1016" s="1130"/>
      <c r="H1016" s="1124"/>
      <c r="I1016" s="1125"/>
      <c r="J1016" s="1126"/>
      <c r="K1016" s="687"/>
      <c r="N1016" s="685"/>
      <c r="O1016" s="687"/>
      <c r="Q1016" s="1126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ht="15.75" customHeight="1">
      <c r="A1017" s="2"/>
      <c r="G1017" s="1130"/>
      <c r="H1017" s="1124"/>
      <c r="I1017" s="1125"/>
      <c r="J1017" s="1126"/>
      <c r="K1017" s="687"/>
      <c r="N1017" s="685"/>
      <c r="O1017" s="687"/>
      <c r="Q1017" s="1126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ht="15.75" customHeight="1">
      <c r="A1018" s="2"/>
      <c r="G1018" s="1130"/>
      <c r="H1018" s="1124"/>
      <c r="I1018" s="1125"/>
      <c r="J1018" s="1126"/>
      <c r="K1018" s="687"/>
      <c r="N1018" s="685"/>
      <c r="O1018" s="687"/>
      <c r="Q1018" s="1126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ht="15.75" customHeight="1">
      <c r="A1019" s="2"/>
      <c r="G1019" s="1130"/>
      <c r="H1019" s="1124"/>
      <c r="I1019" s="1125"/>
      <c r="J1019" s="1126"/>
      <c r="K1019" s="687"/>
      <c r="N1019" s="685"/>
      <c r="O1019" s="687"/>
      <c r="Q1019" s="1126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ht="15.75" customHeight="1">
      <c r="A1020" s="2"/>
      <c r="G1020" s="1130"/>
      <c r="H1020" s="1124"/>
      <c r="I1020" s="1125"/>
      <c r="J1020" s="1126"/>
      <c r="K1020" s="687"/>
      <c r="N1020" s="685"/>
      <c r="O1020" s="687"/>
      <c r="Q1020" s="1126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ht="15.75" customHeight="1">
      <c r="A1021" s="2"/>
      <c r="G1021" s="1130"/>
      <c r="H1021" s="1124"/>
      <c r="I1021" s="1125"/>
      <c r="J1021" s="1126"/>
      <c r="K1021" s="687"/>
      <c r="N1021" s="685"/>
      <c r="O1021" s="687"/>
      <c r="Q1021" s="1126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ht="15.75" customHeight="1">
      <c r="A1022" s="2"/>
      <c r="G1022" s="1130"/>
      <c r="H1022" s="1124"/>
      <c r="I1022" s="1125"/>
      <c r="J1022" s="1126"/>
      <c r="K1022" s="687"/>
      <c r="N1022" s="685"/>
      <c r="O1022" s="687"/>
      <c r="Q1022" s="1126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ht="15.75" customHeight="1">
      <c r="A1023" s="2"/>
      <c r="G1023" s="1130"/>
      <c r="H1023" s="1124"/>
      <c r="I1023" s="1125"/>
      <c r="J1023" s="1126"/>
      <c r="K1023" s="687"/>
      <c r="N1023" s="685"/>
      <c r="O1023" s="687"/>
      <c r="Q1023" s="1126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ht="15.75" customHeight="1">
      <c r="A1024" s="2"/>
      <c r="G1024" s="1130"/>
      <c r="H1024" s="1124"/>
      <c r="I1024" s="1125"/>
      <c r="J1024" s="1126"/>
      <c r="K1024" s="687"/>
      <c r="N1024" s="685"/>
      <c r="O1024" s="687"/>
      <c r="Q1024" s="1126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ht="15.75" customHeight="1">
      <c r="A1025" s="2"/>
      <c r="G1025" s="1130"/>
      <c r="H1025" s="1124"/>
      <c r="I1025" s="1125"/>
      <c r="J1025" s="1126"/>
      <c r="K1025" s="687"/>
      <c r="N1025" s="685"/>
      <c r="O1025" s="687"/>
      <c r="Q1025" s="1126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ht="15.75" customHeight="1">
      <c r="A1026" s="2"/>
      <c r="G1026" s="1130"/>
      <c r="H1026" s="1124"/>
      <c r="I1026" s="1125"/>
      <c r="J1026" s="1126"/>
      <c r="K1026" s="687"/>
      <c r="N1026" s="685"/>
      <c r="O1026" s="687"/>
      <c r="Q1026" s="1126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ht="15.75" customHeight="1">
      <c r="A1027" s="2"/>
      <c r="G1027" s="1130"/>
      <c r="H1027" s="1124"/>
      <c r="I1027" s="1125"/>
      <c r="J1027" s="1126"/>
      <c r="K1027" s="687"/>
      <c r="N1027" s="685"/>
      <c r="O1027" s="687"/>
      <c r="Q1027" s="1126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ht="15.75" customHeight="1">
      <c r="A1028" s="2"/>
      <c r="G1028" s="1130"/>
      <c r="H1028" s="1124"/>
      <c r="I1028" s="1125"/>
      <c r="J1028" s="1126"/>
      <c r="K1028" s="687"/>
      <c r="N1028" s="685"/>
      <c r="O1028" s="687"/>
      <c r="Q1028" s="1126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ht="15.75" customHeight="1">
      <c r="A1029" s="2"/>
      <c r="G1029" s="1130"/>
      <c r="H1029" s="1124"/>
      <c r="I1029" s="1125"/>
      <c r="J1029" s="1126"/>
      <c r="K1029" s="687"/>
      <c r="N1029" s="685"/>
      <c r="O1029" s="687"/>
      <c r="Q1029" s="1126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ht="15.75" customHeight="1">
      <c r="A1030" s="2"/>
      <c r="G1030" s="1130"/>
      <c r="H1030" s="1124"/>
      <c r="I1030" s="1125"/>
      <c r="J1030" s="1126"/>
      <c r="K1030" s="687"/>
      <c r="N1030" s="685"/>
      <c r="O1030" s="687"/>
      <c r="Q1030" s="1126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ht="15.75" customHeight="1">
      <c r="A1031" s="2"/>
      <c r="G1031" s="1130"/>
      <c r="H1031" s="1124"/>
      <c r="I1031" s="1125"/>
      <c r="J1031" s="1126"/>
      <c r="K1031" s="687"/>
      <c r="N1031" s="685"/>
      <c r="O1031" s="687"/>
      <c r="Q1031" s="1126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ht="15.75" customHeight="1">
      <c r="A1032" s="2"/>
      <c r="G1032" s="1130"/>
      <c r="H1032" s="1124"/>
      <c r="I1032" s="1125"/>
      <c r="J1032" s="1126"/>
      <c r="K1032" s="687"/>
      <c r="N1032" s="685"/>
      <c r="O1032" s="687"/>
      <c r="Q1032" s="1126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ht="15.75" customHeight="1">
      <c r="A1033" s="2"/>
      <c r="G1033" s="1130"/>
      <c r="H1033" s="1124"/>
      <c r="I1033" s="1125"/>
      <c r="J1033" s="1126"/>
      <c r="K1033" s="687"/>
      <c r="N1033" s="685"/>
      <c r="O1033" s="687"/>
      <c r="Q1033" s="1126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ht="15.75" customHeight="1">
      <c r="A1034" s="2"/>
      <c r="G1034" s="1130"/>
      <c r="H1034" s="1124"/>
      <c r="I1034" s="1125"/>
      <c r="J1034" s="1126"/>
      <c r="K1034" s="687"/>
      <c r="N1034" s="685"/>
      <c r="O1034" s="687"/>
      <c r="Q1034" s="1126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ht="15.75" customHeight="1">
      <c r="A1035" s="2"/>
      <c r="G1035" s="1130"/>
      <c r="H1035" s="1124"/>
      <c r="I1035" s="1125"/>
      <c r="J1035" s="1126"/>
      <c r="K1035" s="687"/>
      <c r="N1035" s="685"/>
      <c r="O1035" s="687"/>
      <c r="Q1035" s="1126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ht="15.75" customHeight="1">
      <c r="A1036" s="2"/>
      <c r="G1036" s="1130"/>
      <c r="H1036" s="1124"/>
      <c r="I1036" s="1125"/>
      <c r="J1036" s="1126"/>
      <c r="K1036" s="687"/>
      <c r="N1036" s="685"/>
      <c r="O1036" s="687"/>
      <c r="Q1036" s="1126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ht="15.75" customHeight="1">
      <c r="A1037" s="2"/>
      <c r="G1037" s="1130"/>
      <c r="H1037" s="1124"/>
      <c r="I1037" s="1125"/>
      <c r="J1037" s="1126"/>
      <c r="K1037" s="687"/>
      <c r="N1037" s="685"/>
      <c r="O1037" s="687"/>
      <c r="Q1037" s="1126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 ht="15.75" customHeight="1">
      <c r="A1038" s="2"/>
      <c r="G1038" s="1130"/>
      <c r="H1038" s="1124"/>
      <c r="I1038" s="1125"/>
      <c r="J1038" s="1126"/>
      <c r="K1038" s="687"/>
      <c r="N1038" s="685"/>
      <c r="O1038" s="687"/>
      <c r="Q1038" s="1126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 ht="15.75" customHeight="1">
      <c r="A1039" s="2"/>
      <c r="G1039" s="1130"/>
      <c r="H1039" s="1124"/>
      <c r="I1039" s="1125"/>
      <c r="J1039" s="1126"/>
      <c r="K1039" s="687"/>
      <c r="N1039" s="685"/>
      <c r="O1039" s="687"/>
      <c r="Q1039" s="1126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 ht="15.75" customHeight="1">
      <c r="A1040" s="2"/>
      <c r="G1040" s="1130"/>
      <c r="H1040" s="1124"/>
      <c r="I1040" s="1125"/>
      <c r="J1040" s="1126"/>
      <c r="K1040" s="687"/>
      <c r="N1040" s="685"/>
      <c r="O1040" s="687"/>
      <c r="Q1040" s="1126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 ht="15.75" customHeight="1">
      <c r="A1041" s="2"/>
      <c r="G1041" s="1130"/>
      <c r="H1041" s="1124"/>
      <c r="I1041" s="1125"/>
      <c r="J1041" s="1126"/>
      <c r="K1041" s="687"/>
      <c r="N1041" s="685"/>
      <c r="O1041" s="687"/>
      <c r="Q1041" s="1126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 ht="15.75" customHeight="1">
      <c r="A1042" s="2"/>
      <c r="G1042" s="1130"/>
      <c r="H1042" s="1124"/>
      <c r="I1042" s="1125"/>
      <c r="J1042" s="1126"/>
      <c r="K1042" s="687"/>
      <c r="N1042" s="685"/>
      <c r="O1042" s="687"/>
      <c r="Q1042" s="1126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  <row r="1043" spans="1:27" ht="15.75" customHeight="1">
      <c r="A1043" s="2"/>
      <c r="G1043" s="1130"/>
      <c r="H1043" s="1124"/>
      <c r="I1043" s="1125"/>
      <c r="J1043" s="1126"/>
      <c r="K1043" s="687"/>
      <c r="N1043" s="685"/>
      <c r="O1043" s="687"/>
      <c r="Q1043" s="1126"/>
      <c r="R1043" s="2"/>
      <c r="S1043" s="2"/>
      <c r="T1043" s="2"/>
      <c r="U1043" s="2"/>
      <c r="V1043" s="2"/>
      <c r="W1043" s="2"/>
      <c r="X1043" s="2"/>
      <c r="Y1043" s="2"/>
      <c r="Z1043" s="2"/>
      <c r="AA1043" s="2"/>
    </row>
    <row r="1044" spans="1:27" ht="15.75" customHeight="1">
      <c r="A1044" s="2"/>
      <c r="G1044" s="1130"/>
      <c r="H1044" s="1124"/>
      <c r="I1044" s="1125"/>
      <c r="J1044" s="1126"/>
      <c r="K1044" s="687"/>
      <c r="N1044" s="685"/>
      <c r="O1044" s="687"/>
      <c r="Q1044" s="1126"/>
      <c r="R1044" s="2"/>
      <c r="S1044" s="2"/>
      <c r="T1044" s="2"/>
      <c r="U1044" s="2"/>
      <c r="V1044" s="2"/>
      <c r="W1044" s="2"/>
      <c r="X1044" s="2"/>
      <c r="Y1044" s="2"/>
      <c r="Z1044" s="2"/>
      <c r="AA1044" s="2"/>
    </row>
    <row r="1045" spans="1:27" ht="15.75" customHeight="1">
      <c r="A1045" s="2"/>
      <c r="G1045" s="1130"/>
      <c r="H1045" s="1124"/>
      <c r="I1045" s="1125"/>
      <c r="J1045" s="1126"/>
      <c r="K1045" s="687"/>
      <c r="N1045" s="685"/>
      <c r="O1045" s="687"/>
      <c r="Q1045" s="1126"/>
      <c r="R1045" s="2"/>
      <c r="S1045" s="2"/>
      <c r="T1045" s="2"/>
      <c r="U1045" s="2"/>
      <c r="V1045" s="2"/>
      <c r="W1045" s="2"/>
      <c r="X1045" s="2"/>
      <c r="Y1045" s="2"/>
      <c r="Z1045" s="2"/>
      <c r="AA1045" s="2"/>
    </row>
    <row r="1046" spans="1:27" ht="15.75" customHeight="1">
      <c r="A1046" s="2"/>
      <c r="G1046" s="1130"/>
      <c r="H1046" s="1124"/>
      <c r="I1046" s="1125"/>
      <c r="J1046" s="1126"/>
      <c r="K1046" s="687"/>
      <c r="N1046" s="685"/>
      <c r="O1046" s="687"/>
      <c r="Q1046" s="1126"/>
      <c r="R1046" s="2"/>
      <c r="S1046" s="2"/>
      <c r="T1046" s="2"/>
      <c r="U1046" s="2"/>
      <c r="V1046" s="2"/>
      <c r="W1046" s="2"/>
      <c r="X1046" s="2"/>
      <c r="Y1046" s="2"/>
      <c r="Z1046" s="2"/>
      <c r="AA1046" s="2"/>
    </row>
    <row r="1047" spans="1:27" ht="15.75" customHeight="1">
      <c r="A1047" s="2"/>
      <c r="G1047" s="1130"/>
      <c r="H1047" s="1124"/>
      <c r="I1047" s="1125"/>
      <c r="J1047" s="1126"/>
      <c r="K1047" s="687"/>
      <c r="N1047" s="685"/>
      <c r="O1047" s="687"/>
      <c r="Q1047" s="1126"/>
      <c r="R1047" s="2"/>
      <c r="S1047" s="2"/>
      <c r="T1047" s="2"/>
      <c r="U1047" s="2"/>
      <c r="V1047" s="2"/>
      <c r="W1047" s="2"/>
      <c r="X1047" s="2"/>
      <c r="Y1047" s="2"/>
      <c r="Z1047" s="2"/>
      <c r="AA1047" s="2"/>
    </row>
    <row r="1048" spans="1:27" ht="15.75" customHeight="1">
      <c r="A1048" s="2"/>
      <c r="G1048" s="1130"/>
      <c r="H1048" s="1124"/>
      <c r="I1048" s="1125"/>
      <c r="J1048" s="1126"/>
      <c r="K1048" s="687"/>
      <c r="N1048" s="685"/>
      <c r="O1048" s="687"/>
      <c r="Q1048" s="1126"/>
      <c r="R1048" s="2"/>
      <c r="S1048" s="2"/>
      <c r="T1048" s="2"/>
      <c r="U1048" s="2"/>
      <c r="V1048" s="2"/>
      <c r="W1048" s="2"/>
      <c r="X1048" s="2"/>
      <c r="Y1048" s="2"/>
      <c r="Z1048" s="2"/>
      <c r="AA1048" s="2"/>
    </row>
    <row r="1049" spans="1:27" ht="15.75" customHeight="1">
      <c r="A1049" s="2"/>
      <c r="G1049" s="1130"/>
      <c r="H1049" s="1124"/>
      <c r="I1049" s="1125"/>
      <c r="J1049" s="1126"/>
      <c r="K1049" s="687"/>
      <c r="N1049" s="685"/>
      <c r="O1049" s="687"/>
      <c r="Q1049" s="1126"/>
      <c r="R1049" s="2"/>
      <c r="S1049" s="2"/>
      <c r="T1049" s="2"/>
      <c r="U1049" s="2"/>
      <c r="V1049" s="2"/>
      <c r="W1049" s="2"/>
      <c r="X1049" s="2"/>
      <c r="Y1049" s="2"/>
      <c r="Z1049" s="2"/>
      <c r="AA1049" s="2"/>
    </row>
    <row r="1050" spans="1:27" ht="15.75" customHeight="1">
      <c r="A1050" s="2"/>
      <c r="G1050" s="1130"/>
      <c r="H1050" s="1124"/>
      <c r="I1050" s="1125"/>
      <c r="J1050" s="1126"/>
      <c r="K1050" s="687"/>
      <c r="N1050" s="685"/>
      <c r="O1050" s="687"/>
      <c r="Q1050" s="1126"/>
      <c r="R1050" s="2"/>
      <c r="S1050" s="2"/>
      <c r="T1050" s="2"/>
      <c r="U1050" s="2"/>
      <c r="V1050" s="2"/>
      <c r="W1050" s="2"/>
      <c r="X1050" s="2"/>
      <c r="Y1050" s="2"/>
      <c r="Z1050" s="2"/>
      <c r="AA1050" s="2"/>
    </row>
    <row r="1051" spans="1:27" ht="15.75" customHeight="1">
      <c r="A1051" s="2"/>
      <c r="G1051" s="1130"/>
      <c r="H1051" s="1124"/>
      <c r="I1051" s="1125"/>
      <c r="J1051" s="1126"/>
      <c r="K1051" s="687"/>
      <c r="N1051" s="685"/>
      <c r="O1051" s="687"/>
      <c r="Q1051" s="1126"/>
      <c r="R1051" s="2"/>
      <c r="S1051" s="2"/>
      <c r="T1051" s="2"/>
      <c r="U1051" s="2"/>
      <c r="V1051" s="2"/>
      <c r="W1051" s="2"/>
      <c r="X1051" s="2"/>
      <c r="Y1051" s="2"/>
      <c r="Z1051" s="2"/>
      <c r="AA1051" s="2"/>
    </row>
    <row r="1052" spans="1:27" ht="15.75" customHeight="1">
      <c r="A1052" s="2"/>
      <c r="G1052" s="1130"/>
      <c r="H1052" s="1124"/>
      <c r="I1052" s="1125"/>
      <c r="J1052" s="1126"/>
      <c r="K1052" s="687"/>
      <c r="N1052" s="685"/>
      <c r="O1052" s="687"/>
      <c r="Q1052" s="1126"/>
      <c r="R1052" s="2"/>
      <c r="S1052" s="2"/>
      <c r="T1052" s="2"/>
      <c r="U1052" s="2"/>
      <c r="V1052" s="2"/>
      <c r="W1052" s="2"/>
      <c r="X1052" s="2"/>
      <c r="Y1052" s="2"/>
      <c r="Z1052" s="2"/>
      <c r="AA1052" s="2"/>
    </row>
    <row r="1053" spans="1:27" ht="15.75" customHeight="1">
      <c r="A1053" s="2"/>
      <c r="G1053" s="1130"/>
      <c r="H1053" s="1124"/>
      <c r="I1053" s="1125"/>
      <c r="J1053" s="1126"/>
      <c r="K1053" s="687"/>
      <c r="N1053" s="685"/>
      <c r="O1053" s="687"/>
      <c r="Q1053" s="1126"/>
      <c r="R1053" s="2"/>
      <c r="S1053" s="2"/>
      <c r="T1053" s="2"/>
      <c r="U1053" s="2"/>
      <c r="V1053" s="2"/>
      <c r="W1053" s="2"/>
      <c r="X1053" s="2"/>
      <c r="Y1053" s="2"/>
      <c r="Z1053" s="2"/>
      <c r="AA1053" s="2"/>
    </row>
    <row r="1054" spans="1:27" ht="15.75" customHeight="1">
      <c r="A1054" s="2"/>
      <c r="G1054" s="1130"/>
      <c r="H1054" s="1124"/>
      <c r="I1054" s="1125"/>
      <c r="J1054" s="1126"/>
      <c r="K1054" s="687"/>
      <c r="N1054" s="685"/>
      <c r="O1054" s="687"/>
      <c r="Q1054" s="1126"/>
      <c r="R1054" s="2"/>
      <c r="S1054" s="2"/>
      <c r="T1054" s="2"/>
      <c r="U1054" s="2"/>
      <c r="V1054" s="2"/>
      <c r="W1054" s="2"/>
      <c r="X1054" s="2"/>
      <c r="Y1054" s="2"/>
      <c r="Z1054" s="2"/>
      <c r="AA1054" s="2"/>
    </row>
    <row r="1055" spans="1:27" ht="15.75" customHeight="1">
      <c r="A1055" s="2"/>
      <c r="G1055" s="1130"/>
      <c r="H1055" s="1124"/>
      <c r="I1055" s="1125"/>
      <c r="J1055" s="1126"/>
      <c r="K1055" s="687"/>
      <c r="N1055" s="685"/>
      <c r="O1055" s="687"/>
      <c r="Q1055" s="1126"/>
      <c r="R1055" s="2"/>
      <c r="S1055" s="2"/>
      <c r="T1055" s="2"/>
      <c r="U1055" s="2"/>
      <c r="V1055" s="2"/>
      <c r="W1055" s="2"/>
      <c r="X1055" s="2"/>
      <c r="Y1055" s="2"/>
      <c r="Z1055" s="2"/>
      <c r="AA1055" s="2"/>
    </row>
    <row r="1056" spans="1:27" ht="15.75" customHeight="1">
      <c r="A1056" s="2"/>
      <c r="G1056" s="1130"/>
      <c r="H1056" s="1124"/>
      <c r="I1056" s="1125"/>
      <c r="J1056" s="1126"/>
      <c r="K1056" s="687"/>
      <c r="N1056" s="685"/>
      <c r="O1056" s="687"/>
      <c r="Q1056" s="1126"/>
      <c r="R1056" s="2"/>
      <c r="S1056" s="2"/>
      <c r="T1056" s="2"/>
      <c r="U1056" s="2"/>
      <c r="V1056" s="2"/>
      <c r="W1056" s="2"/>
      <c r="X1056" s="2"/>
      <c r="Y1056" s="2"/>
      <c r="Z1056" s="2"/>
      <c r="AA1056" s="2"/>
    </row>
    <row r="1057" spans="1:27" ht="15.75" customHeight="1">
      <c r="A1057" s="2"/>
      <c r="G1057" s="1130"/>
      <c r="H1057" s="1124"/>
      <c r="I1057" s="1125"/>
      <c r="J1057" s="1126"/>
      <c r="K1057" s="687"/>
      <c r="N1057" s="685"/>
      <c r="O1057" s="687"/>
      <c r="Q1057" s="1126"/>
      <c r="R1057" s="2"/>
      <c r="S1057" s="2"/>
      <c r="T1057" s="2"/>
      <c r="U1057" s="2"/>
      <c r="V1057" s="2"/>
      <c r="W1057" s="2"/>
      <c r="X1057" s="2"/>
      <c r="Y1057" s="2"/>
      <c r="Z1057" s="2"/>
      <c r="AA1057" s="2"/>
    </row>
    <row r="1058" spans="1:27" ht="15.75" customHeight="1">
      <c r="A1058" s="2"/>
      <c r="G1058" s="1130"/>
      <c r="H1058" s="1124"/>
      <c r="I1058" s="1125"/>
      <c r="J1058" s="1126"/>
      <c r="K1058" s="687"/>
      <c r="N1058" s="685"/>
      <c r="O1058" s="687"/>
      <c r="Q1058" s="1126"/>
      <c r="R1058" s="2"/>
      <c r="S1058" s="2"/>
      <c r="T1058" s="2"/>
      <c r="U1058" s="2"/>
      <c r="V1058" s="2"/>
      <c r="W1058" s="2"/>
      <c r="X1058" s="2"/>
      <c r="Y1058" s="2"/>
      <c r="Z1058" s="2"/>
      <c r="AA1058" s="2"/>
    </row>
    <row r="1059" spans="1:27" ht="15.75" customHeight="1">
      <c r="A1059" s="2"/>
      <c r="G1059" s="1130"/>
      <c r="H1059" s="1124"/>
      <c r="I1059" s="1125"/>
      <c r="J1059" s="1126"/>
      <c r="K1059" s="687"/>
      <c r="N1059" s="685"/>
      <c r="O1059" s="687"/>
      <c r="Q1059" s="1126"/>
      <c r="R1059" s="2"/>
      <c r="S1059" s="2"/>
      <c r="T1059" s="2"/>
      <c r="U1059" s="2"/>
      <c r="V1059" s="2"/>
      <c r="W1059" s="2"/>
      <c r="X1059" s="2"/>
      <c r="Y1059" s="2"/>
      <c r="Z1059" s="2"/>
      <c r="AA1059" s="2"/>
    </row>
    <row r="1060" spans="1:27" ht="15.75" customHeight="1">
      <c r="A1060" s="2"/>
      <c r="G1060" s="1130"/>
      <c r="H1060" s="1124"/>
      <c r="I1060" s="1125"/>
      <c r="J1060" s="1126"/>
      <c r="K1060" s="687"/>
      <c r="N1060" s="685"/>
      <c r="O1060" s="687"/>
      <c r="Q1060" s="1126"/>
      <c r="R1060" s="2"/>
      <c r="S1060" s="2"/>
      <c r="T1060" s="2"/>
      <c r="U1060" s="2"/>
      <c r="V1060" s="2"/>
      <c r="W1060" s="2"/>
      <c r="X1060" s="2"/>
      <c r="Y1060" s="2"/>
      <c r="Z1060" s="2"/>
      <c r="AA1060" s="2"/>
    </row>
    <row r="1061" spans="1:27" ht="15.75" customHeight="1">
      <c r="A1061" s="2"/>
      <c r="G1061" s="1130"/>
      <c r="H1061" s="1124"/>
      <c r="I1061" s="1125"/>
      <c r="J1061" s="1126"/>
      <c r="K1061" s="687"/>
      <c r="N1061" s="685"/>
      <c r="O1061" s="687"/>
      <c r="Q1061" s="1126"/>
      <c r="R1061" s="2"/>
      <c r="S1061" s="2"/>
      <c r="T1061" s="2"/>
      <c r="U1061" s="2"/>
      <c r="V1061" s="2"/>
      <c r="W1061" s="2"/>
      <c r="X1061" s="2"/>
      <c r="Y1061" s="2"/>
      <c r="Z1061" s="2"/>
      <c r="AA1061" s="2"/>
    </row>
    <row r="1062" spans="1:27" ht="15.75" customHeight="1">
      <c r="A1062" s="2"/>
      <c r="G1062" s="1130"/>
      <c r="H1062" s="1124"/>
      <c r="I1062" s="1125"/>
      <c r="J1062" s="1126"/>
      <c r="K1062" s="687"/>
      <c r="N1062" s="685"/>
      <c r="O1062" s="687"/>
      <c r="Q1062" s="1126"/>
      <c r="R1062" s="2"/>
      <c r="S1062" s="2"/>
      <c r="T1062" s="2"/>
      <c r="U1062" s="2"/>
      <c r="V1062" s="2"/>
      <c r="W1062" s="2"/>
      <c r="X1062" s="2"/>
      <c r="Y1062" s="2"/>
      <c r="Z1062" s="2"/>
      <c r="AA1062" s="2"/>
    </row>
    <row r="1063" spans="1:27" ht="15.75" customHeight="1">
      <c r="A1063" s="2"/>
      <c r="G1063" s="1130"/>
      <c r="H1063" s="1124"/>
      <c r="I1063" s="1125"/>
      <c r="J1063" s="1126"/>
      <c r="K1063" s="687"/>
      <c r="N1063" s="685"/>
      <c r="O1063" s="687"/>
      <c r="Q1063" s="1126"/>
      <c r="R1063" s="2"/>
      <c r="S1063" s="2"/>
      <c r="T1063" s="2"/>
      <c r="U1063" s="2"/>
      <c r="V1063" s="2"/>
      <c r="W1063" s="2"/>
      <c r="X1063" s="2"/>
      <c r="Y1063" s="2"/>
      <c r="Z1063" s="2"/>
      <c r="AA1063" s="2"/>
    </row>
    <row r="1064" spans="1:27" ht="15.75" customHeight="1">
      <c r="A1064" s="2"/>
      <c r="G1064" s="1130"/>
      <c r="H1064" s="1124"/>
      <c r="I1064" s="1125"/>
      <c r="J1064" s="1126"/>
      <c r="K1064" s="687"/>
      <c r="N1064" s="685"/>
      <c r="O1064" s="687"/>
      <c r="Q1064" s="1126"/>
      <c r="R1064" s="2"/>
      <c r="S1064" s="2"/>
      <c r="T1064" s="2"/>
      <c r="U1064" s="2"/>
      <c r="V1064" s="2"/>
      <c r="W1064" s="2"/>
      <c r="X1064" s="2"/>
      <c r="Y1064" s="2"/>
      <c r="Z1064" s="2"/>
      <c r="AA1064" s="2"/>
    </row>
    <row r="1065" spans="1:27" ht="15.75" customHeight="1">
      <c r="A1065" s="2"/>
      <c r="G1065" s="1130"/>
      <c r="H1065" s="1124"/>
      <c r="I1065" s="1125"/>
      <c r="J1065" s="1126"/>
      <c r="K1065" s="687"/>
      <c r="N1065" s="685"/>
      <c r="O1065" s="687"/>
      <c r="Q1065" s="1126"/>
      <c r="R1065" s="2"/>
      <c r="S1065" s="2"/>
      <c r="T1065" s="2"/>
      <c r="U1065" s="2"/>
      <c r="V1065" s="2"/>
      <c r="W1065" s="2"/>
      <c r="X1065" s="2"/>
      <c r="Y1065" s="2"/>
      <c r="Z1065" s="2"/>
      <c r="AA1065" s="2"/>
    </row>
    <row r="1066" spans="1:27" ht="15.75" customHeight="1">
      <c r="A1066" s="2"/>
      <c r="G1066" s="1130"/>
      <c r="H1066" s="1124"/>
      <c r="I1066" s="1125"/>
      <c r="J1066" s="1126"/>
      <c r="K1066" s="687"/>
      <c r="N1066" s="685"/>
      <c r="O1066" s="687"/>
      <c r="Q1066" s="1126"/>
      <c r="R1066" s="2"/>
      <c r="S1066" s="2"/>
      <c r="T1066" s="2"/>
      <c r="U1066" s="2"/>
      <c r="V1066" s="2"/>
      <c r="W1066" s="2"/>
      <c r="X1066" s="2"/>
      <c r="Y1066" s="2"/>
      <c r="Z1066" s="2"/>
      <c r="AA1066" s="2"/>
    </row>
    <row r="1067" spans="1:27" ht="15.75" customHeight="1">
      <c r="A1067" s="2"/>
      <c r="G1067" s="1130"/>
      <c r="H1067" s="1124"/>
      <c r="I1067" s="1125"/>
      <c r="J1067" s="1126"/>
      <c r="K1067" s="687"/>
      <c r="N1067" s="685"/>
      <c r="O1067" s="687"/>
      <c r="Q1067" s="1126"/>
      <c r="R1067" s="2"/>
      <c r="S1067" s="2"/>
      <c r="T1067" s="2"/>
      <c r="U1067" s="2"/>
      <c r="V1067" s="2"/>
      <c r="W1067" s="2"/>
      <c r="X1067" s="2"/>
      <c r="Y1067" s="2"/>
      <c r="Z1067" s="2"/>
      <c r="AA1067" s="2"/>
    </row>
    <row r="1068" spans="1:27" ht="15.75" customHeight="1">
      <c r="A1068" s="2"/>
      <c r="G1068" s="1130"/>
      <c r="H1068" s="1124"/>
      <c r="I1068" s="1125"/>
      <c r="J1068" s="1126"/>
      <c r="K1068" s="687"/>
      <c r="N1068" s="685"/>
      <c r="O1068" s="687"/>
      <c r="Q1068" s="1126"/>
      <c r="R1068" s="2"/>
      <c r="S1068" s="2"/>
      <c r="T1068" s="2"/>
      <c r="U1068" s="2"/>
      <c r="V1068" s="2"/>
      <c r="W1068" s="2"/>
      <c r="X1068" s="2"/>
      <c r="Y1068" s="2"/>
      <c r="Z1068" s="2"/>
      <c r="AA1068" s="2"/>
    </row>
    <row r="1069" spans="1:27" ht="15.75" customHeight="1">
      <c r="A1069" s="2"/>
      <c r="G1069" s="1130"/>
      <c r="H1069" s="1124"/>
      <c r="I1069" s="1125"/>
      <c r="J1069" s="1126"/>
      <c r="K1069" s="687"/>
      <c r="N1069" s="685"/>
      <c r="O1069" s="687"/>
      <c r="Q1069" s="1126"/>
      <c r="R1069" s="2"/>
      <c r="S1069" s="2"/>
      <c r="T1069" s="2"/>
      <c r="U1069" s="2"/>
      <c r="V1069" s="2"/>
      <c r="W1069" s="2"/>
      <c r="X1069" s="2"/>
      <c r="Y1069" s="2"/>
      <c r="Z1069" s="2"/>
      <c r="AA1069" s="2"/>
    </row>
    <row r="1070" spans="1:27" ht="15.75" customHeight="1">
      <c r="A1070" s="2"/>
      <c r="G1070" s="1130"/>
      <c r="H1070" s="1124"/>
      <c r="I1070" s="1125"/>
      <c r="J1070" s="1126"/>
      <c r="K1070" s="687"/>
      <c r="N1070" s="685"/>
      <c r="O1070" s="687"/>
      <c r="Q1070" s="1126"/>
      <c r="R1070" s="2"/>
      <c r="S1070" s="2"/>
      <c r="T1070" s="2"/>
      <c r="U1070" s="2"/>
      <c r="V1070" s="2"/>
      <c r="W1070" s="2"/>
      <c r="X1070" s="2"/>
      <c r="Y1070" s="2"/>
      <c r="Z1070" s="2"/>
      <c r="AA1070" s="2"/>
    </row>
    <row r="1071" spans="1:27" ht="15.75" customHeight="1">
      <c r="A1071" s="2"/>
      <c r="G1071" s="1130"/>
      <c r="H1071" s="1124"/>
      <c r="I1071" s="1125"/>
      <c r="J1071" s="1126"/>
      <c r="K1071" s="687"/>
      <c r="N1071" s="685"/>
      <c r="O1071" s="687"/>
      <c r="Q1071" s="1126"/>
      <c r="R1071" s="2"/>
      <c r="S1071" s="2"/>
      <c r="T1071" s="2"/>
      <c r="U1071" s="2"/>
      <c r="V1071" s="2"/>
      <c r="W1071" s="2"/>
      <c r="X1071" s="2"/>
      <c r="Y1071" s="2"/>
      <c r="Z1071" s="2"/>
      <c r="AA1071" s="2"/>
    </row>
    <row r="1072" spans="1:27" ht="15.75" customHeight="1">
      <c r="A1072" s="2"/>
      <c r="G1072" s="1130"/>
      <c r="H1072" s="1124"/>
      <c r="I1072" s="1125"/>
      <c r="J1072" s="1126"/>
      <c r="K1072" s="687"/>
      <c r="N1072" s="685"/>
      <c r="O1072" s="687"/>
      <c r="Q1072" s="1126"/>
      <c r="R1072" s="2"/>
      <c r="S1072" s="2"/>
      <c r="T1072" s="2"/>
      <c r="U1072" s="2"/>
      <c r="V1072" s="2"/>
      <c r="W1072" s="2"/>
      <c r="X1072" s="2"/>
      <c r="Y1072" s="2"/>
      <c r="Z1072" s="2"/>
      <c r="AA1072" s="2"/>
    </row>
    <row r="1073" spans="1:27" ht="15.75" customHeight="1">
      <c r="A1073" s="2"/>
      <c r="G1073" s="1130"/>
      <c r="H1073" s="1124"/>
      <c r="I1073" s="1125"/>
      <c r="J1073" s="1126"/>
      <c r="K1073" s="687"/>
      <c r="N1073" s="685"/>
      <c r="O1073" s="687"/>
      <c r="Q1073" s="1126"/>
      <c r="R1073" s="2"/>
      <c r="S1073" s="2"/>
      <c r="T1073" s="2"/>
      <c r="U1073" s="2"/>
      <c r="V1073" s="2"/>
      <c r="W1073" s="2"/>
      <c r="X1073" s="2"/>
      <c r="Y1073" s="2"/>
      <c r="Z1073" s="2"/>
      <c r="AA1073" s="2"/>
    </row>
    <row r="1074" spans="1:27" ht="15.75" customHeight="1">
      <c r="A1074" s="2"/>
      <c r="G1074" s="1130"/>
      <c r="H1074" s="1124"/>
      <c r="I1074" s="1125"/>
      <c r="J1074" s="1126"/>
      <c r="K1074" s="687"/>
      <c r="N1074" s="685"/>
      <c r="O1074" s="687"/>
      <c r="Q1074" s="1126"/>
      <c r="R1074" s="2"/>
      <c r="S1074" s="2"/>
      <c r="T1074" s="2"/>
      <c r="U1074" s="2"/>
      <c r="V1074" s="2"/>
      <c r="W1074" s="2"/>
      <c r="X1074" s="2"/>
      <c r="Y1074" s="2"/>
      <c r="Z1074" s="2"/>
      <c r="AA1074" s="2"/>
    </row>
    <row r="1075" spans="1:27" ht="15.75" customHeight="1">
      <c r="A1075" s="2"/>
      <c r="G1075" s="1130"/>
      <c r="H1075" s="1124"/>
      <c r="I1075" s="1125"/>
      <c r="J1075" s="1126"/>
      <c r="K1075" s="687"/>
      <c r="N1075" s="685"/>
      <c r="O1075" s="687"/>
      <c r="Q1075" s="1126"/>
      <c r="R1075" s="2"/>
      <c r="S1075" s="2"/>
      <c r="T1075" s="2"/>
      <c r="U1075" s="2"/>
      <c r="V1075" s="2"/>
      <c r="W1075" s="2"/>
      <c r="X1075" s="2"/>
      <c r="Y1075" s="2"/>
      <c r="Z1075" s="2"/>
      <c r="AA1075" s="2"/>
    </row>
    <row r="1076" spans="1:27" ht="15.75" customHeight="1">
      <c r="A1076" s="2"/>
      <c r="G1076" s="1130"/>
      <c r="H1076" s="1124"/>
      <c r="I1076" s="1125"/>
      <c r="J1076" s="1126"/>
      <c r="K1076" s="687"/>
      <c r="N1076" s="685"/>
      <c r="O1076" s="687"/>
      <c r="Q1076" s="1126"/>
      <c r="R1076" s="2"/>
      <c r="S1076" s="2"/>
      <c r="T1076" s="2"/>
      <c r="U1076" s="2"/>
      <c r="V1076" s="2"/>
      <c r="W1076" s="2"/>
      <c r="X1076" s="2"/>
      <c r="Y1076" s="2"/>
      <c r="Z1076" s="2"/>
      <c r="AA1076" s="2"/>
    </row>
    <row r="1077" spans="1:27" ht="15.75" customHeight="1">
      <c r="A1077" s="2"/>
      <c r="G1077" s="1130"/>
      <c r="H1077" s="1124"/>
      <c r="I1077" s="1125"/>
      <c r="J1077" s="1126"/>
      <c r="K1077" s="687"/>
      <c r="N1077" s="685"/>
      <c r="O1077" s="687"/>
      <c r="Q1077" s="1126"/>
      <c r="R1077" s="2"/>
      <c r="S1077" s="2"/>
      <c r="T1077" s="2"/>
      <c r="U1077" s="2"/>
      <c r="V1077" s="2"/>
      <c r="W1077" s="2"/>
      <c r="X1077" s="2"/>
      <c r="Y1077" s="2"/>
      <c r="Z1077" s="2"/>
      <c r="AA1077" s="2"/>
    </row>
    <row r="1078" spans="1:27" ht="15.75" customHeight="1">
      <c r="A1078" s="2"/>
      <c r="G1078" s="1130"/>
      <c r="H1078" s="1124"/>
      <c r="I1078" s="1125"/>
      <c r="J1078" s="1126"/>
      <c r="K1078" s="687"/>
      <c r="N1078" s="685"/>
      <c r="O1078" s="687"/>
      <c r="Q1078" s="1126"/>
      <c r="R1078" s="2"/>
      <c r="S1078" s="2"/>
      <c r="T1078" s="2"/>
      <c r="U1078" s="2"/>
      <c r="V1078" s="2"/>
      <c r="W1078" s="2"/>
      <c r="X1078" s="2"/>
      <c r="Y1078" s="2"/>
      <c r="Z1078" s="2"/>
      <c r="AA1078" s="2"/>
    </row>
    <row r="1079" spans="1:27" ht="15.75" customHeight="1">
      <c r="A1079" s="2"/>
      <c r="G1079" s="1130"/>
      <c r="H1079" s="1124"/>
      <c r="I1079" s="1125"/>
      <c r="J1079" s="1126"/>
      <c r="K1079" s="687"/>
      <c r="N1079" s="685"/>
      <c r="O1079" s="687"/>
      <c r="Q1079" s="1126"/>
      <c r="R1079" s="2"/>
      <c r="S1079" s="2"/>
      <c r="T1079" s="2"/>
      <c r="U1079" s="2"/>
      <c r="V1079" s="2"/>
      <c r="W1079" s="2"/>
      <c r="X1079" s="2"/>
      <c r="Y1079" s="2"/>
      <c r="Z1079" s="2"/>
      <c r="AA1079" s="2"/>
    </row>
    <row r="1080" spans="1:27" ht="15.75" customHeight="1">
      <c r="A1080" s="2"/>
      <c r="G1080" s="1130"/>
      <c r="H1080" s="1124"/>
      <c r="I1080" s="1125"/>
      <c r="J1080" s="1126"/>
      <c r="K1080" s="687"/>
      <c r="N1080" s="685"/>
      <c r="O1080" s="687"/>
      <c r="Q1080" s="1126"/>
      <c r="R1080" s="2"/>
      <c r="S1080" s="2"/>
      <c r="T1080" s="2"/>
      <c r="U1080" s="2"/>
      <c r="V1080" s="2"/>
      <c r="W1080" s="2"/>
      <c r="X1080" s="2"/>
      <c r="Y1080" s="2"/>
      <c r="Z1080" s="2"/>
      <c r="AA1080" s="2"/>
    </row>
    <row r="1081" spans="1:27" ht="15.75" customHeight="1">
      <c r="A1081" s="2"/>
      <c r="G1081" s="1130"/>
      <c r="H1081" s="1124"/>
      <c r="I1081" s="1125"/>
      <c r="J1081" s="1126"/>
      <c r="K1081" s="687"/>
      <c r="N1081" s="685"/>
      <c r="O1081" s="687"/>
      <c r="Q1081" s="1126"/>
      <c r="R1081" s="2"/>
      <c r="S1081" s="2"/>
      <c r="T1081" s="2"/>
      <c r="U1081" s="2"/>
      <c r="V1081" s="2"/>
      <c r="W1081" s="2"/>
      <c r="X1081" s="2"/>
      <c r="Y1081" s="2"/>
      <c r="Z1081" s="2"/>
      <c r="AA1081" s="2"/>
    </row>
    <row r="1082" spans="1:27" ht="15.75" customHeight="1">
      <c r="A1082" s="2"/>
      <c r="G1082" s="1130"/>
      <c r="H1082" s="1124"/>
      <c r="I1082" s="1125"/>
      <c r="J1082" s="1126"/>
      <c r="K1082" s="687"/>
      <c r="N1082" s="685"/>
      <c r="O1082" s="687"/>
      <c r="Q1082" s="1126"/>
      <c r="R1082" s="2"/>
      <c r="S1082" s="2"/>
      <c r="T1082" s="2"/>
      <c r="U1082" s="2"/>
      <c r="V1082" s="2"/>
      <c r="W1082" s="2"/>
      <c r="X1082" s="2"/>
      <c r="Y1082" s="2"/>
      <c r="Z1082" s="2"/>
      <c r="AA1082" s="2"/>
    </row>
    <row r="1083" spans="1:27" ht="15.75" customHeight="1">
      <c r="A1083" s="2"/>
      <c r="G1083" s="1130"/>
      <c r="H1083" s="1124"/>
      <c r="I1083" s="1125"/>
      <c r="J1083" s="1126"/>
      <c r="K1083" s="687"/>
      <c r="N1083" s="685"/>
      <c r="O1083" s="687"/>
      <c r="Q1083" s="1126"/>
      <c r="R1083" s="2"/>
      <c r="S1083" s="2"/>
      <c r="T1083" s="2"/>
      <c r="U1083" s="2"/>
      <c r="V1083" s="2"/>
      <c r="W1083" s="2"/>
      <c r="X1083" s="2"/>
      <c r="Y1083" s="2"/>
      <c r="Z1083" s="2"/>
      <c r="AA1083" s="2"/>
    </row>
    <row r="1084" spans="1:27" ht="15.75" customHeight="1">
      <c r="A1084" s="2"/>
      <c r="G1084" s="1130"/>
      <c r="H1084" s="1124"/>
      <c r="I1084" s="1125"/>
      <c r="J1084" s="1126"/>
      <c r="K1084" s="687"/>
      <c r="N1084" s="685"/>
      <c r="O1084" s="687"/>
      <c r="Q1084" s="1126"/>
      <c r="R1084" s="2"/>
      <c r="S1084" s="2"/>
      <c r="T1084" s="2"/>
      <c r="U1084" s="2"/>
      <c r="V1084" s="2"/>
      <c r="W1084" s="2"/>
      <c r="X1084" s="2"/>
      <c r="Y1084" s="2"/>
      <c r="Z1084" s="2"/>
      <c r="AA1084" s="2"/>
    </row>
    <row r="1085" spans="1:27" ht="15.75" customHeight="1">
      <c r="A1085" s="2"/>
      <c r="G1085" s="1130"/>
      <c r="H1085" s="1124"/>
      <c r="I1085" s="1125"/>
      <c r="J1085" s="1126"/>
      <c r="K1085" s="687"/>
      <c r="N1085" s="685"/>
      <c r="O1085" s="687"/>
      <c r="Q1085" s="1126"/>
      <c r="R1085" s="2"/>
      <c r="S1085" s="2"/>
      <c r="T1085" s="2"/>
      <c r="U1085" s="2"/>
      <c r="V1085" s="2"/>
      <c r="W1085" s="2"/>
      <c r="X1085" s="2"/>
      <c r="Y1085" s="2"/>
      <c r="Z1085" s="2"/>
      <c r="AA1085" s="2"/>
    </row>
    <row r="1086" spans="1:27" ht="15.75" customHeight="1">
      <c r="A1086" s="2"/>
      <c r="G1086" s="1130"/>
      <c r="H1086" s="1124"/>
      <c r="I1086" s="1125"/>
      <c r="J1086" s="1126"/>
      <c r="K1086" s="687"/>
      <c r="N1086" s="685"/>
      <c r="O1086" s="687"/>
      <c r="Q1086" s="1126"/>
      <c r="R1086" s="2"/>
      <c r="S1086" s="2"/>
      <c r="T1086" s="2"/>
      <c r="U1086" s="2"/>
      <c r="V1086" s="2"/>
      <c r="W1086" s="2"/>
      <c r="X1086" s="2"/>
      <c r="Y1086" s="2"/>
      <c r="Z1086" s="2"/>
      <c r="AA1086" s="2"/>
    </row>
    <row r="1087" spans="1:27" ht="15.75" customHeight="1">
      <c r="A1087" s="2"/>
      <c r="G1087" s="1130"/>
      <c r="H1087" s="1124"/>
      <c r="I1087" s="1125"/>
      <c r="J1087" s="1126"/>
      <c r="K1087" s="687"/>
      <c r="N1087" s="685"/>
      <c r="O1087" s="687"/>
      <c r="Q1087" s="1126"/>
      <c r="R1087" s="2"/>
      <c r="S1087" s="2"/>
      <c r="T1087" s="2"/>
      <c r="U1087" s="2"/>
      <c r="V1087" s="2"/>
      <c r="W1087" s="2"/>
      <c r="X1087" s="2"/>
      <c r="Y1087" s="2"/>
      <c r="Z1087" s="2"/>
      <c r="AA1087" s="2"/>
    </row>
    <row r="1088" spans="1:27" ht="15.75" customHeight="1">
      <c r="A1088" s="2"/>
      <c r="G1088" s="1130"/>
      <c r="H1088" s="1124"/>
      <c r="I1088" s="1125"/>
      <c r="J1088" s="1126"/>
      <c r="K1088" s="687"/>
      <c r="N1088" s="685"/>
      <c r="O1088" s="687"/>
      <c r="Q1088" s="1126"/>
      <c r="R1088" s="2"/>
      <c r="S1088" s="2"/>
      <c r="T1088" s="2"/>
      <c r="U1088" s="2"/>
      <c r="V1088" s="2"/>
      <c r="W1088" s="2"/>
      <c r="X1088" s="2"/>
      <c r="Y1088" s="2"/>
      <c r="Z1088" s="2"/>
      <c r="AA1088" s="2"/>
    </row>
    <row r="1089" spans="1:27" ht="15.75" customHeight="1">
      <c r="A1089" s="2"/>
      <c r="G1089" s="1130"/>
      <c r="H1089" s="1124"/>
      <c r="I1089" s="1125"/>
      <c r="J1089" s="1126"/>
      <c r="K1089" s="687"/>
      <c r="N1089" s="685"/>
      <c r="O1089" s="687"/>
      <c r="Q1089" s="1126"/>
      <c r="R1089" s="2"/>
      <c r="S1089" s="2"/>
      <c r="T1089" s="2"/>
      <c r="U1089" s="2"/>
      <c r="V1089" s="2"/>
      <c r="W1089" s="2"/>
      <c r="X1089" s="2"/>
      <c r="Y1089" s="2"/>
      <c r="Z1089" s="2"/>
      <c r="AA1089" s="2"/>
    </row>
    <row r="1090" spans="1:27" ht="15.75" customHeight="1">
      <c r="A1090" s="2"/>
      <c r="G1090" s="1130"/>
      <c r="H1090" s="1124"/>
      <c r="I1090" s="1125"/>
      <c r="J1090" s="1126"/>
      <c r="K1090" s="687"/>
      <c r="N1090" s="685"/>
      <c r="O1090" s="687"/>
      <c r="Q1090" s="1126"/>
      <c r="R1090" s="2"/>
      <c r="S1090" s="2"/>
      <c r="T1090" s="2"/>
      <c r="U1090" s="2"/>
      <c r="V1090" s="2"/>
      <c r="W1090" s="2"/>
      <c r="X1090" s="2"/>
      <c r="Y1090" s="2"/>
      <c r="Z1090" s="2"/>
      <c r="AA1090" s="2"/>
    </row>
    <row r="1091" spans="1:27" ht="15.75" customHeight="1">
      <c r="A1091" s="2"/>
      <c r="G1091" s="1130"/>
      <c r="H1091" s="1124"/>
      <c r="I1091" s="1125"/>
      <c r="J1091" s="1126"/>
      <c r="K1091" s="687"/>
      <c r="N1091" s="685"/>
      <c r="O1091" s="687"/>
      <c r="Q1091" s="1126"/>
      <c r="R1091" s="2"/>
      <c r="S1091" s="2"/>
      <c r="T1091" s="2"/>
      <c r="U1091" s="2"/>
      <c r="V1091" s="2"/>
      <c r="W1091" s="2"/>
      <c r="X1091" s="2"/>
      <c r="Y1091" s="2"/>
      <c r="Z1091" s="2"/>
      <c r="AA1091" s="2"/>
    </row>
    <row r="1092" spans="1:27" ht="15.75" customHeight="1">
      <c r="A1092" s="2"/>
      <c r="G1092" s="1130"/>
      <c r="H1092" s="1124"/>
      <c r="I1092" s="1125"/>
      <c r="J1092" s="1126"/>
      <c r="K1092" s="687"/>
      <c r="N1092" s="685"/>
      <c r="O1092" s="687"/>
      <c r="Q1092" s="1126"/>
      <c r="R1092" s="2"/>
      <c r="S1092" s="2"/>
      <c r="T1092" s="2"/>
      <c r="U1092" s="2"/>
      <c r="V1092" s="2"/>
      <c r="W1092" s="2"/>
      <c r="X1092" s="2"/>
      <c r="Y1092" s="2"/>
      <c r="Z1092" s="2"/>
      <c r="AA1092" s="2"/>
    </row>
    <row r="1093" spans="1:27" ht="15.75" customHeight="1">
      <c r="A1093" s="2"/>
      <c r="G1093" s="1130"/>
      <c r="H1093" s="1124"/>
      <c r="I1093" s="1125"/>
      <c r="J1093" s="1126"/>
      <c r="K1093" s="687"/>
      <c r="N1093" s="685"/>
      <c r="O1093" s="687"/>
      <c r="Q1093" s="1126"/>
      <c r="R1093" s="2"/>
      <c r="S1093" s="2"/>
      <c r="T1093" s="2"/>
      <c r="U1093" s="2"/>
      <c r="V1093" s="2"/>
      <c r="W1093" s="2"/>
      <c r="X1093" s="2"/>
      <c r="Y1093" s="2"/>
      <c r="Z1093" s="2"/>
      <c r="AA1093" s="2"/>
    </row>
    <row r="1094" spans="1:27" ht="15.75" customHeight="1">
      <c r="A1094" s="2"/>
      <c r="G1094" s="1130"/>
      <c r="H1094" s="1124"/>
      <c r="I1094" s="1125"/>
      <c r="J1094" s="1126"/>
      <c r="K1094" s="687"/>
      <c r="N1094" s="685"/>
      <c r="O1094" s="687"/>
      <c r="Q1094" s="1126"/>
      <c r="R1094" s="2"/>
      <c r="S1094" s="2"/>
      <c r="T1094" s="2"/>
      <c r="U1094" s="2"/>
      <c r="V1094" s="2"/>
      <c r="W1094" s="2"/>
      <c r="X1094" s="2"/>
      <c r="Y1094" s="2"/>
      <c r="Z1094" s="2"/>
      <c r="AA1094" s="2"/>
    </row>
    <row r="1095" spans="1:27" ht="15.75" customHeight="1">
      <c r="A1095" s="2"/>
      <c r="G1095" s="1130"/>
      <c r="H1095" s="1124"/>
      <c r="I1095" s="1125"/>
      <c r="J1095" s="1126"/>
      <c r="K1095" s="687"/>
      <c r="N1095" s="685"/>
      <c r="O1095" s="687"/>
      <c r="Q1095" s="1126"/>
      <c r="R1095" s="2"/>
      <c r="S1095" s="2"/>
      <c r="T1095" s="2"/>
      <c r="U1095" s="2"/>
      <c r="V1095" s="2"/>
      <c r="W1095" s="2"/>
      <c r="X1095" s="2"/>
      <c r="Y1095" s="2"/>
      <c r="Z1095" s="2"/>
      <c r="AA1095" s="2"/>
    </row>
    <row r="1096" spans="1:27" ht="15.75" customHeight="1">
      <c r="A1096" s="2"/>
      <c r="G1096" s="1130"/>
      <c r="H1096" s="1124"/>
      <c r="I1096" s="1125"/>
      <c r="J1096" s="1126"/>
      <c r="K1096" s="687"/>
      <c r="N1096" s="685"/>
      <c r="O1096" s="687"/>
      <c r="Q1096" s="1126"/>
      <c r="R1096" s="2"/>
      <c r="S1096" s="2"/>
      <c r="T1096" s="2"/>
      <c r="U1096" s="2"/>
      <c r="V1096" s="2"/>
      <c r="W1096" s="2"/>
      <c r="X1096" s="2"/>
      <c r="Y1096" s="2"/>
      <c r="Z1096" s="2"/>
      <c r="AA1096" s="2"/>
    </row>
    <row r="1097" spans="1:27" ht="15.75" customHeight="1">
      <c r="A1097" s="2"/>
      <c r="G1097" s="1130"/>
      <c r="H1097" s="1124"/>
      <c r="I1097" s="1125"/>
      <c r="J1097" s="1126"/>
      <c r="K1097" s="687"/>
      <c r="N1097" s="685"/>
      <c r="O1097" s="687"/>
      <c r="Q1097" s="1126"/>
      <c r="R1097" s="2"/>
      <c r="S1097" s="2"/>
      <c r="T1097" s="2"/>
      <c r="U1097" s="2"/>
      <c r="V1097" s="2"/>
      <c r="W1097" s="2"/>
      <c r="X1097" s="2"/>
      <c r="Y1097" s="2"/>
      <c r="Z1097" s="2"/>
      <c r="AA1097" s="2"/>
    </row>
    <row r="1098" spans="1:27" ht="15.75" customHeight="1">
      <c r="A1098" s="2"/>
      <c r="G1098" s="1130"/>
      <c r="H1098" s="1124"/>
      <c r="I1098" s="1125"/>
      <c r="J1098" s="1126"/>
      <c r="K1098" s="687"/>
      <c r="N1098" s="685"/>
      <c r="O1098" s="687"/>
      <c r="Q1098" s="1126"/>
      <c r="R1098" s="2"/>
      <c r="S1098" s="2"/>
      <c r="T1098" s="2"/>
      <c r="U1098" s="2"/>
      <c r="V1098" s="2"/>
      <c r="W1098" s="2"/>
      <c r="X1098" s="2"/>
      <c r="Y1098" s="2"/>
      <c r="Z1098" s="2"/>
      <c r="AA1098" s="2"/>
    </row>
    <row r="1099" spans="1:27" ht="15.75" customHeight="1">
      <c r="A1099" s="2"/>
      <c r="G1099" s="1130"/>
      <c r="H1099" s="1124"/>
      <c r="I1099" s="1125"/>
      <c r="J1099" s="1126"/>
      <c r="K1099" s="687"/>
      <c r="N1099" s="685"/>
      <c r="O1099" s="687"/>
      <c r="Q1099" s="1126"/>
      <c r="R1099" s="2"/>
      <c r="S1099" s="2"/>
      <c r="T1099" s="2"/>
      <c r="U1099" s="2"/>
      <c r="V1099" s="2"/>
      <c r="W1099" s="2"/>
      <c r="X1099" s="2"/>
      <c r="Y1099" s="2"/>
      <c r="Z1099" s="2"/>
      <c r="AA1099" s="2"/>
    </row>
    <row r="1100" spans="1:27" ht="15.75" customHeight="1">
      <c r="A1100" s="2"/>
      <c r="G1100" s="1130"/>
      <c r="H1100" s="1124"/>
      <c r="I1100" s="1125"/>
      <c r="J1100" s="1126"/>
      <c r="K1100" s="687"/>
      <c r="N1100" s="685"/>
      <c r="O1100" s="687"/>
      <c r="Q1100" s="1126"/>
      <c r="R1100" s="2"/>
      <c r="S1100" s="2"/>
      <c r="T1100" s="2"/>
      <c r="U1100" s="2"/>
      <c r="V1100" s="2"/>
      <c r="W1100" s="2"/>
      <c r="X1100" s="2"/>
      <c r="Y1100" s="2"/>
      <c r="Z1100" s="2"/>
      <c r="AA1100" s="2"/>
    </row>
    <row r="1101" spans="1:27" ht="15.75" customHeight="1">
      <c r="A1101" s="2"/>
      <c r="G1101" s="1130"/>
      <c r="H1101" s="1124"/>
      <c r="I1101" s="1125"/>
      <c r="J1101" s="1126"/>
      <c r="K1101" s="687"/>
      <c r="N1101" s="685"/>
      <c r="O1101" s="687"/>
      <c r="Q1101" s="1126"/>
      <c r="R1101" s="2"/>
      <c r="S1101" s="2"/>
      <c r="T1101" s="2"/>
      <c r="U1101" s="2"/>
      <c r="V1101" s="2"/>
      <c r="W1101" s="2"/>
      <c r="X1101" s="2"/>
      <c r="Y1101" s="2"/>
      <c r="Z1101" s="2"/>
      <c r="AA1101" s="2"/>
    </row>
    <row r="1102" spans="1:27" ht="15.75" customHeight="1">
      <c r="A1102" s="2"/>
      <c r="G1102" s="1130"/>
      <c r="H1102" s="1124"/>
      <c r="I1102" s="1125"/>
      <c r="J1102" s="1126"/>
      <c r="K1102" s="687"/>
      <c r="N1102" s="685"/>
      <c r="O1102" s="687"/>
      <c r="Q1102" s="1126"/>
      <c r="R1102" s="2"/>
      <c r="S1102" s="2"/>
      <c r="T1102" s="2"/>
      <c r="U1102" s="2"/>
      <c r="V1102" s="2"/>
      <c r="W1102" s="2"/>
      <c r="X1102" s="2"/>
      <c r="Y1102" s="2"/>
      <c r="Z1102" s="2"/>
      <c r="AA1102" s="2"/>
    </row>
    <row r="1103" spans="1:27" ht="15.75" customHeight="1">
      <c r="A1103" s="2"/>
      <c r="G1103" s="1130"/>
      <c r="H1103" s="1124"/>
      <c r="I1103" s="1125"/>
      <c r="J1103" s="1126"/>
      <c r="K1103" s="687"/>
      <c r="N1103" s="685"/>
      <c r="O1103" s="687"/>
      <c r="Q1103" s="1126"/>
      <c r="R1103" s="2"/>
      <c r="S1103" s="2"/>
      <c r="T1103" s="2"/>
      <c r="U1103" s="2"/>
      <c r="V1103" s="2"/>
      <c r="W1103" s="2"/>
      <c r="X1103" s="2"/>
      <c r="Y1103" s="2"/>
      <c r="Z1103" s="2"/>
      <c r="AA1103" s="2"/>
    </row>
    <row r="1104" spans="1:27" ht="15.75" customHeight="1">
      <c r="A1104" s="2"/>
      <c r="G1104" s="1130"/>
      <c r="H1104" s="1124"/>
      <c r="I1104" s="1125"/>
      <c r="J1104" s="1126"/>
      <c r="K1104" s="687"/>
      <c r="N1104" s="685"/>
      <c r="O1104" s="687"/>
      <c r="Q1104" s="1126"/>
      <c r="R1104" s="2"/>
      <c r="S1104" s="2"/>
      <c r="T1104" s="2"/>
      <c r="U1104" s="2"/>
      <c r="V1104" s="2"/>
      <c r="W1104" s="2"/>
      <c r="X1104" s="2"/>
      <c r="Y1104" s="2"/>
      <c r="Z1104" s="2"/>
      <c r="AA1104" s="2"/>
    </row>
    <row r="1105" spans="1:27" ht="15.75" customHeight="1">
      <c r="A1105" s="2"/>
      <c r="G1105" s="1130"/>
      <c r="H1105" s="1124"/>
      <c r="I1105" s="1125"/>
      <c r="J1105" s="1126"/>
      <c r="K1105" s="687"/>
      <c r="N1105" s="685"/>
      <c r="O1105" s="687"/>
      <c r="Q1105" s="1126"/>
      <c r="R1105" s="2"/>
      <c r="S1105" s="2"/>
      <c r="T1105" s="2"/>
      <c r="U1105" s="2"/>
      <c r="V1105" s="2"/>
      <c r="W1105" s="2"/>
      <c r="X1105" s="2"/>
      <c r="Y1105" s="2"/>
      <c r="Z1105" s="2"/>
      <c r="AA1105" s="2"/>
    </row>
    <row r="1106" spans="1:27" ht="15.75" customHeight="1">
      <c r="A1106" s="2"/>
      <c r="G1106" s="1130"/>
      <c r="H1106" s="1124"/>
      <c r="I1106" s="1125"/>
      <c r="J1106" s="1126"/>
      <c r="K1106" s="687"/>
      <c r="N1106" s="685"/>
      <c r="O1106" s="687"/>
      <c r="Q1106" s="1126"/>
      <c r="R1106" s="2"/>
      <c r="S1106" s="2"/>
      <c r="T1106" s="2"/>
      <c r="U1106" s="2"/>
      <c r="V1106" s="2"/>
      <c r="W1106" s="2"/>
      <c r="X1106" s="2"/>
      <c r="Y1106" s="2"/>
      <c r="Z1106" s="2"/>
      <c r="AA1106" s="2"/>
    </row>
    <row r="1107" spans="1:27" ht="15.75" customHeight="1">
      <c r="A1107" s="2"/>
      <c r="G1107" s="1130"/>
      <c r="H1107" s="1124"/>
      <c r="I1107" s="1125"/>
      <c r="J1107" s="1126"/>
      <c r="K1107" s="687"/>
      <c r="N1107" s="685"/>
      <c r="O1107" s="687"/>
      <c r="Q1107" s="1126"/>
      <c r="R1107" s="2"/>
      <c r="S1107" s="2"/>
      <c r="T1107" s="2"/>
      <c r="U1107" s="2"/>
      <c r="V1107" s="2"/>
      <c r="W1107" s="2"/>
      <c r="X1107" s="2"/>
      <c r="Y1107" s="2"/>
      <c r="Z1107" s="2"/>
      <c r="AA1107" s="2"/>
    </row>
    <row r="1108" spans="1:27" ht="15.75" customHeight="1">
      <c r="A1108" s="2"/>
      <c r="G1108" s="1130"/>
      <c r="H1108" s="1124"/>
      <c r="I1108" s="1125"/>
      <c r="J1108" s="1126"/>
      <c r="K1108" s="687"/>
      <c r="N1108" s="685"/>
      <c r="O1108" s="687"/>
      <c r="Q1108" s="1126"/>
      <c r="R1108" s="2"/>
      <c r="S1108" s="2"/>
      <c r="T1108" s="2"/>
      <c r="U1108" s="2"/>
      <c r="V1108" s="2"/>
      <c r="W1108" s="2"/>
      <c r="X1108" s="2"/>
      <c r="Y1108" s="2"/>
      <c r="Z1108" s="2"/>
      <c r="AA1108" s="2"/>
    </row>
    <row r="1109" spans="1:27" ht="15.75" customHeight="1">
      <c r="A1109" s="2"/>
      <c r="G1109" s="1130"/>
      <c r="H1109" s="1124"/>
      <c r="I1109" s="1125"/>
      <c r="J1109" s="1126"/>
      <c r="K1109" s="687"/>
      <c r="N1109" s="685"/>
      <c r="O1109" s="687"/>
      <c r="Q1109" s="1126"/>
      <c r="R1109" s="2"/>
      <c r="S1109" s="2"/>
      <c r="T1109" s="2"/>
      <c r="U1109" s="2"/>
      <c r="V1109" s="2"/>
      <c r="W1109" s="2"/>
      <c r="X1109" s="2"/>
      <c r="Y1109" s="2"/>
      <c r="Z1109" s="2"/>
      <c r="AA1109" s="2"/>
    </row>
    <row r="1110" spans="1:27" ht="15.75" customHeight="1">
      <c r="A1110" s="2"/>
      <c r="G1110" s="1130"/>
      <c r="H1110" s="1124"/>
      <c r="I1110" s="1125"/>
      <c r="J1110" s="1126"/>
      <c r="K1110" s="687"/>
      <c r="N1110" s="685"/>
      <c r="O1110" s="687"/>
      <c r="Q1110" s="1126"/>
      <c r="R1110" s="2"/>
      <c r="S1110" s="2"/>
      <c r="T1110" s="2"/>
      <c r="U1110" s="2"/>
      <c r="V1110" s="2"/>
      <c r="W1110" s="2"/>
      <c r="X1110" s="2"/>
      <c r="Y1110" s="2"/>
      <c r="Z1110" s="2"/>
      <c r="AA1110" s="2"/>
    </row>
    <row r="1111" spans="1:27" ht="15.75" customHeight="1">
      <c r="A1111" s="2"/>
      <c r="G1111" s="1130"/>
      <c r="H1111" s="1124"/>
      <c r="I1111" s="1125"/>
      <c r="J1111" s="1126"/>
      <c r="K1111" s="687"/>
      <c r="N1111" s="685"/>
      <c r="O1111" s="687"/>
      <c r="Q1111" s="1126"/>
      <c r="R1111" s="2"/>
      <c r="S1111" s="2"/>
      <c r="T1111" s="2"/>
      <c r="U1111" s="2"/>
      <c r="V1111" s="2"/>
      <c r="W1111" s="2"/>
      <c r="X1111" s="2"/>
      <c r="Y1111" s="2"/>
      <c r="Z1111" s="2"/>
      <c r="AA1111" s="2"/>
    </row>
    <row r="1112" spans="1:27" ht="15.75" customHeight="1">
      <c r="A1112" s="2"/>
      <c r="G1112" s="1130"/>
      <c r="H1112" s="1124"/>
      <c r="I1112" s="1125"/>
      <c r="J1112" s="1126"/>
      <c r="K1112" s="687"/>
      <c r="N1112" s="685"/>
      <c r="O1112" s="687"/>
      <c r="Q1112" s="1126"/>
      <c r="R1112" s="2"/>
      <c r="S1112" s="2"/>
      <c r="T1112" s="2"/>
      <c r="U1112" s="2"/>
      <c r="V1112" s="2"/>
      <c r="W1112" s="2"/>
      <c r="X1112" s="2"/>
      <c r="Y1112" s="2"/>
      <c r="Z1112" s="2"/>
      <c r="AA1112" s="2"/>
    </row>
    <row r="1113" spans="1:27" ht="15.75" customHeight="1">
      <c r="A1113" s="2"/>
      <c r="G1113" s="1130"/>
      <c r="H1113" s="1124"/>
      <c r="I1113" s="1125"/>
      <c r="J1113" s="1126"/>
      <c r="K1113" s="687"/>
      <c r="N1113" s="685"/>
      <c r="O1113" s="687"/>
      <c r="Q1113" s="1126"/>
      <c r="R1113" s="2"/>
      <c r="S1113" s="2"/>
      <c r="T1113" s="2"/>
      <c r="U1113" s="2"/>
      <c r="V1113" s="2"/>
      <c r="W1113" s="2"/>
      <c r="X1113" s="2"/>
      <c r="Y1113" s="2"/>
      <c r="Z1113" s="2"/>
      <c r="AA1113" s="2"/>
    </row>
    <row r="1114" spans="1:27" ht="15.75" customHeight="1">
      <c r="A1114" s="2"/>
      <c r="G1114" s="1130"/>
      <c r="H1114" s="1124"/>
      <c r="I1114" s="1125"/>
      <c r="J1114" s="1126"/>
      <c r="K1114" s="687"/>
      <c r="N1114" s="685"/>
      <c r="O1114" s="687"/>
      <c r="Q1114" s="1126"/>
      <c r="R1114" s="2"/>
      <c r="S1114" s="2"/>
      <c r="T1114" s="2"/>
      <c r="U1114" s="2"/>
      <c r="V1114" s="2"/>
      <c r="W1114" s="2"/>
      <c r="X1114" s="2"/>
      <c r="Y1114" s="2"/>
      <c r="Z1114" s="2"/>
      <c r="AA1114" s="2"/>
    </row>
    <row r="1115" spans="1:27" ht="15.75" customHeight="1">
      <c r="A1115" s="2"/>
      <c r="G1115" s="1130"/>
      <c r="H1115" s="1124"/>
      <c r="I1115" s="1125"/>
      <c r="J1115" s="1126"/>
      <c r="K1115" s="687"/>
      <c r="N1115" s="685"/>
      <c r="O1115" s="687"/>
      <c r="Q1115" s="1126"/>
      <c r="R1115" s="2"/>
      <c r="S1115" s="2"/>
      <c r="T1115" s="2"/>
      <c r="U1115" s="2"/>
      <c r="V1115" s="2"/>
      <c r="W1115" s="2"/>
      <c r="X1115" s="2"/>
      <c r="Y1115" s="2"/>
      <c r="Z1115" s="2"/>
      <c r="AA1115" s="2"/>
    </row>
    <row r="1116" spans="1:27" ht="15.75" customHeight="1">
      <c r="A1116" s="2"/>
      <c r="G1116" s="1130"/>
      <c r="H1116" s="1124"/>
      <c r="I1116" s="1125"/>
      <c r="J1116" s="1126"/>
      <c r="K1116" s="687"/>
      <c r="N1116" s="685"/>
      <c r="O1116" s="687"/>
      <c r="Q1116" s="1126"/>
      <c r="R1116" s="2"/>
      <c r="S1116" s="2"/>
      <c r="T1116" s="2"/>
      <c r="U1116" s="2"/>
      <c r="V1116" s="2"/>
      <c r="W1116" s="2"/>
      <c r="X1116" s="2"/>
      <c r="Y1116" s="2"/>
      <c r="Z1116" s="2"/>
      <c r="AA1116" s="2"/>
    </row>
    <row r="1117" spans="1:27" ht="15.75" customHeight="1">
      <c r="A1117" s="2"/>
      <c r="G1117" s="1130"/>
      <c r="H1117" s="1124"/>
      <c r="I1117" s="1125"/>
      <c r="J1117" s="1126"/>
      <c r="K1117" s="687"/>
      <c r="N1117" s="685"/>
      <c r="O1117" s="687"/>
      <c r="Q1117" s="1126"/>
      <c r="R1117" s="2"/>
      <c r="S1117" s="2"/>
      <c r="T1117" s="2"/>
      <c r="U1117" s="2"/>
      <c r="V1117" s="2"/>
      <c r="W1117" s="2"/>
      <c r="X1117" s="2"/>
      <c r="Y1117" s="2"/>
      <c r="Z1117" s="2"/>
      <c r="AA1117" s="2"/>
    </row>
    <row r="1118" spans="1:27" ht="15.75" customHeight="1">
      <c r="A1118" s="2"/>
      <c r="G1118" s="1130"/>
      <c r="H1118" s="1124"/>
      <c r="I1118" s="1125"/>
      <c r="J1118" s="1126"/>
      <c r="K1118" s="687"/>
      <c r="N1118" s="685"/>
      <c r="O1118" s="687"/>
      <c r="Q1118" s="1126"/>
      <c r="R1118" s="2"/>
      <c r="S1118" s="2"/>
      <c r="T1118" s="2"/>
      <c r="U1118" s="2"/>
      <c r="V1118" s="2"/>
      <c r="W1118" s="2"/>
      <c r="X1118" s="2"/>
      <c r="Y1118" s="2"/>
      <c r="Z1118" s="2"/>
      <c r="AA1118" s="2"/>
    </row>
    <row r="1119" spans="1:27" ht="15.75" customHeight="1">
      <c r="A1119" s="2"/>
      <c r="G1119" s="1130"/>
      <c r="H1119" s="1124"/>
      <c r="I1119" s="1125"/>
      <c r="J1119" s="1126"/>
      <c r="K1119" s="687"/>
      <c r="N1119" s="685"/>
      <c r="O1119" s="687"/>
      <c r="Q1119" s="1126"/>
      <c r="R1119" s="2"/>
      <c r="S1119" s="2"/>
      <c r="T1119" s="2"/>
      <c r="U1119" s="2"/>
      <c r="V1119" s="2"/>
      <c r="W1119" s="2"/>
      <c r="X1119" s="2"/>
      <c r="Y1119" s="2"/>
      <c r="Z1119" s="2"/>
      <c r="AA1119" s="2"/>
    </row>
    <row r="1120" spans="1:27" ht="15.75" customHeight="1">
      <c r="A1120" s="2"/>
      <c r="G1120" s="1130"/>
      <c r="H1120" s="1124"/>
      <c r="I1120" s="1125"/>
      <c r="J1120" s="1126"/>
      <c r="K1120" s="687"/>
      <c r="N1120" s="685"/>
      <c r="O1120" s="687"/>
      <c r="Q1120" s="1126"/>
      <c r="R1120" s="2"/>
      <c r="S1120" s="2"/>
      <c r="T1120" s="2"/>
      <c r="U1120" s="2"/>
      <c r="V1120" s="2"/>
      <c r="W1120" s="2"/>
      <c r="X1120" s="2"/>
      <c r="Y1120" s="2"/>
      <c r="Z1120" s="2"/>
      <c r="AA1120" s="2"/>
    </row>
    <row r="1121" spans="1:27" ht="15.75" customHeight="1">
      <c r="A1121" s="2"/>
      <c r="G1121" s="1130"/>
      <c r="H1121" s="1124"/>
      <c r="I1121" s="1125"/>
      <c r="J1121" s="1126"/>
      <c r="K1121" s="687"/>
      <c r="N1121" s="685"/>
      <c r="O1121" s="687"/>
      <c r="Q1121" s="1126"/>
      <c r="R1121" s="2"/>
      <c r="S1121" s="2"/>
      <c r="T1121" s="2"/>
      <c r="U1121" s="2"/>
      <c r="V1121" s="2"/>
      <c r="W1121" s="2"/>
      <c r="X1121" s="2"/>
      <c r="Y1121" s="2"/>
      <c r="Z1121" s="2"/>
      <c r="AA1121" s="2"/>
    </row>
    <row r="1122" spans="1:27" ht="15.75" customHeight="1">
      <c r="A1122" s="2"/>
      <c r="G1122" s="1130"/>
      <c r="H1122" s="1124"/>
      <c r="I1122" s="1125"/>
      <c r="J1122" s="1126"/>
      <c r="K1122" s="687"/>
      <c r="N1122" s="685"/>
      <c r="O1122" s="687"/>
      <c r="Q1122" s="1126"/>
      <c r="R1122" s="2"/>
      <c r="S1122" s="2"/>
      <c r="T1122" s="2"/>
      <c r="U1122" s="2"/>
      <c r="V1122" s="2"/>
      <c r="W1122" s="2"/>
      <c r="X1122" s="2"/>
      <c r="Y1122" s="2"/>
      <c r="Z1122" s="2"/>
      <c r="AA1122" s="2"/>
    </row>
    <row r="1123" spans="1:27" ht="15.75" customHeight="1">
      <c r="A1123" s="2"/>
      <c r="G1123" s="1130"/>
      <c r="H1123" s="1124"/>
      <c r="I1123" s="1125"/>
      <c r="J1123" s="1126"/>
      <c r="K1123" s="687"/>
      <c r="N1123" s="685"/>
      <c r="O1123" s="687"/>
      <c r="Q1123" s="1126"/>
      <c r="R1123" s="2"/>
      <c r="S1123" s="2"/>
      <c r="T1123" s="2"/>
      <c r="U1123" s="2"/>
      <c r="V1123" s="2"/>
      <c r="W1123" s="2"/>
      <c r="X1123" s="2"/>
      <c r="Y1123" s="2"/>
      <c r="Z1123" s="2"/>
      <c r="AA1123" s="2"/>
    </row>
    <row r="1124" spans="1:27" ht="15.75" customHeight="1">
      <c r="A1124" s="2"/>
      <c r="G1124" s="1130"/>
      <c r="H1124" s="1124"/>
      <c r="I1124" s="1125"/>
      <c r="J1124" s="1126"/>
      <c r="K1124" s="687"/>
      <c r="N1124" s="685"/>
      <c r="O1124" s="687"/>
      <c r="Q1124" s="1126"/>
      <c r="R1124" s="2"/>
      <c r="S1124" s="2"/>
      <c r="T1124" s="2"/>
      <c r="U1124" s="2"/>
      <c r="V1124" s="2"/>
      <c r="W1124" s="2"/>
      <c r="X1124" s="2"/>
      <c r="Y1124" s="2"/>
      <c r="Z1124" s="2"/>
      <c r="AA1124" s="2"/>
    </row>
    <row r="1125" spans="1:27" ht="15.75" customHeight="1">
      <c r="A1125" s="2"/>
      <c r="G1125" s="1130"/>
      <c r="H1125" s="1124"/>
      <c r="I1125" s="1125"/>
      <c r="J1125" s="1126"/>
      <c r="K1125" s="687"/>
      <c r="N1125" s="685"/>
      <c r="O1125" s="687"/>
      <c r="Q1125" s="1126"/>
      <c r="R1125" s="2"/>
      <c r="S1125" s="2"/>
      <c r="T1125" s="2"/>
      <c r="U1125" s="2"/>
      <c r="V1125" s="2"/>
      <c r="W1125" s="2"/>
      <c r="X1125" s="2"/>
      <c r="Y1125" s="2"/>
      <c r="Z1125" s="2"/>
      <c r="AA1125" s="2"/>
    </row>
    <row r="1126" spans="1:27" ht="15.75" customHeight="1">
      <c r="A1126" s="2"/>
      <c r="G1126" s="1130"/>
      <c r="H1126" s="1124"/>
      <c r="I1126" s="1125"/>
      <c r="J1126" s="1126"/>
      <c r="K1126" s="687"/>
      <c r="N1126" s="685"/>
      <c r="O1126" s="687"/>
      <c r="Q1126" s="1126"/>
      <c r="R1126" s="2"/>
      <c r="S1126" s="2"/>
      <c r="T1126" s="2"/>
      <c r="U1126" s="2"/>
      <c r="V1126" s="2"/>
      <c r="W1126" s="2"/>
      <c r="X1126" s="2"/>
      <c r="Y1126" s="2"/>
      <c r="Z1126" s="2"/>
      <c r="AA1126" s="2"/>
    </row>
    <row r="1127" spans="1:27" ht="15.75" customHeight="1">
      <c r="A1127" s="2"/>
      <c r="G1127" s="1130"/>
      <c r="H1127" s="1124"/>
      <c r="I1127" s="1125"/>
      <c r="J1127" s="1126"/>
      <c r="K1127" s="687"/>
      <c r="N1127" s="685"/>
      <c r="O1127" s="687"/>
      <c r="Q1127" s="1126"/>
      <c r="R1127" s="2"/>
      <c r="S1127" s="2"/>
      <c r="T1127" s="2"/>
      <c r="U1127" s="2"/>
      <c r="V1127" s="2"/>
      <c r="W1127" s="2"/>
      <c r="X1127" s="2"/>
      <c r="Y1127" s="2"/>
      <c r="Z1127" s="2"/>
      <c r="AA1127" s="2"/>
    </row>
    <row r="1128" spans="1:27" ht="15.75" customHeight="1">
      <c r="A1128" s="2"/>
      <c r="G1128" s="1130"/>
      <c r="H1128" s="1124"/>
      <c r="I1128" s="1125"/>
      <c r="J1128" s="1126"/>
      <c r="K1128" s="687"/>
      <c r="N1128" s="685"/>
      <c r="O1128" s="687"/>
      <c r="Q1128" s="1126"/>
      <c r="R1128" s="2"/>
      <c r="S1128" s="2"/>
      <c r="T1128" s="2"/>
      <c r="U1128" s="2"/>
      <c r="V1128" s="2"/>
      <c r="W1128" s="2"/>
      <c r="X1128" s="2"/>
      <c r="Y1128" s="2"/>
      <c r="Z1128" s="2"/>
      <c r="AA1128" s="2"/>
    </row>
    <row r="1129" spans="1:27" ht="15.75" customHeight="1">
      <c r="A1129" s="2"/>
      <c r="G1129" s="1130"/>
      <c r="H1129" s="1124"/>
      <c r="I1129" s="1125"/>
      <c r="J1129" s="1126"/>
      <c r="K1129" s="687"/>
      <c r="N1129" s="685"/>
      <c r="O1129" s="687"/>
      <c r="Q1129" s="1126"/>
      <c r="R1129" s="2"/>
      <c r="S1129" s="2"/>
      <c r="T1129" s="2"/>
      <c r="U1129" s="2"/>
      <c r="V1129" s="2"/>
      <c r="W1129" s="2"/>
      <c r="X1129" s="2"/>
      <c r="Y1129" s="2"/>
      <c r="Z1129" s="2"/>
      <c r="AA1129" s="2"/>
    </row>
    <row r="1130" spans="1:27" ht="15.75" customHeight="1">
      <c r="A1130" s="2"/>
      <c r="G1130" s="1130"/>
      <c r="H1130" s="1124"/>
      <c r="I1130" s="1125"/>
      <c r="J1130" s="1126"/>
      <c r="K1130" s="687"/>
      <c r="N1130" s="685"/>
      <c r="O1130" s="687"/>
      <c r="Q1130" s="1126"/>
      <c r="R1130" s="2"/>
      <c r="S1130" s="2"/>
      <c r="T1130" s="2"/>
      <c r="U1130" s="2"/>
      <c r="V1130" s="2"/>
      <c r="W1130" s="2"/>
      <c r="X1130" s="2"/>
      <c r="Y1130" s="2"/>
      <c r="Z1130" s="2"/>
      <c r="AA1130" s="2"/>
    </row>
    <row r="1131" spans="1:27" ht="15.75" customHeight="1">
      <c r="A1131" s="2"/>
      <c r="G1131" s="1130"/>
      <c r="H1131" s="1124"/>
      <c r="I1131" s="1125"/>
      <c r="J1131" s="1126"/>
      <c r="K1131" s="687"/>
      <c r="N1131" s="685"/>
      <c r="O1131" s="687"/>
      <c r="Q1131" s="1126"/>
      <c r="R1131" s="2"/>
      <c r="S1131" s="2"/>
      <c r="T1131" s="2"/>
      <c r="U1131" s="2"/>
      <c r="V1131" s="2"/>
      <c r="W1131" s="2"/>
      <c r="X1131" s="2"/>
      <c r="Y1131" s="2"/>
      <c r="Z1131" s="2"/>
      <c r="AA1131" s="2"/>
    </row>
    <row r="1132" spans="1:27" ht="15.75" customHeight="1">
      <c r="A1132" s="2"/>
      <c r="G1132" s="1130"/>
      <c r="H1132" s="1124"/>
      <c r="I1132" s="1125"/>
      <c r="J1132" s="1126"/>
      <c r="K1132" s="687"/>
      <c r="N1132" s="685"/>
      <c r="O1132" s="687"/>
      <c r="Q1132" s="1126"/>
      <c r="R1132" s="2"/>
      <c r="S1132" s="2"/>
      <c r="T1132" s="2"/>
      <c r="U1132" s="2"/>
      <c r="V1132" s="2"/>
      <c r="W1132" s="2"/>
      <c r="X1132" s="2"/>
      <c r="Y1132" s="2"/>
      <c r="Z1132" s="2"/>
      <c r="AA1132" s="2"/>
    </row>
    <row r="1133" spans="1:27" ht="15.75" customHeight="1">
      <c r="A1133" s="2"/>
      <c r="G1133" s="1130"/>
      <c r="H1133" s="1124"/>
      <c r="I1133" s="1125"/>
      <c r="J1133" s="1126"/>
      <c r="K1133" s="687"/>
      <c r="N1133" s="685"/>
      <c r="O1133" s="687"/>
      <c r="Q1133" s="1126"/>
      <c r="R1133" s="2"/>
      <c r="S1133" s="2"/>
      <c r="T1133" s="2"/>
      <c r="U1133" s="2"/>
      <c r="V1133" s="2"/>
      <c r="W1133" s="2"/>
      <c r="X1133" s="2"/>
      <c r="Y1133" s="2"/>
      <c r="Z1133" s="2"/>
      <c r="AA1133" s="2"/>
    </row>
    <row r="1134" spans="1:27" ht="15.75" customHeight="1">
      <c r="A1134" s="2"/>
      <c r="G1134" s="1130"/>
      <c r="H1134" s="1124"/>
      <c r="I1134" s="1125"/>
      <c r="J1134" s="1126"/>
      <c r="K1134" s="687"/>
      <c r="N1134" s="685"/>
      <c r="O1134" s="687"/>
      <c r="Q1134" s="1126"/>
      <c r="R1134" s="2"/>
      <c r="S1134" s="2"/>
      <c r="T1134" s="2"/>
      <c r="U1134" s="2"/>
      <c r="V1134" s="2"/>
      <c r="W1134" s="2"/>
      <c r="X1134" s="2"/>
      <c r="Y1134" s="2"/>
      <c r="Z1134" s="2"/>
      <c r="AA1134" s="2"/>
    </row>
    <row r="1135" spans="1:27" ht="15.75" customHeight="1">
      <c r="A1135" s="2"/>
      <c r="G1135" s="1130"/>
      <c r="H1135" s="1124"/>
      <c r="I1135" s="1125"/>
      <c r="J1135" s="1126"/>
      <c r="K1135" s="687"/>
      <c r="N1135" s="685"/>
      <c r="O1135" s="687"/>
      <c r="Q1135" s="1126"/>
      <c r="R1135" s="2"/>
      <c r="S1135" s="2"/>
      <c r="T1135" s="2"/>
      <c r="U1135" s="2"/>
      <c r="V1135" s="2"/>
      <c r="W1135" s="2"/>
      <c r="X1135" s="2"/>
      <c r="Y1135" s="2"/>
      <c r="Z1135" s="2"/>
      <c r="AA1135" s="2"/>
    </row>
    <row r="1136" spans="1:27" ht="15.75" customHeight="1">
      <c r="A1136" s="2"/>
      <c r="G1136" s="1130"/>
      <c r="H1136" s="1124"/>
      <c r="I1136" s="1125"/>
      <c r="J1136" s="1126"/>
      <c r="K1136" s="687"/>
      <c r="N1136" s="685"/>
      <c r="O1136" s="687"/>
      <c r="Q1136" s="1126"/>
      <c r="R1136" s="2"/>
      <c r="S1136" s="2"/>
      <c r="T1136" s="2"/>
      <c r="U1136" s="2"/>
      <c r="V1136" s="2"/>
      <c r="W1136" s="2"/>
      <c r="X1136" s="2"/>
      <c r="Y1136" s="2"/>
      <c r="Z1136" s="2"/>
      <c r="AA1136" s="2"/>
    </row>
    <row r="1137" spans="1:27" ht="15.75" customHeight="1">
      <c r="A1137" s="2"/>
      <c r="G1137" s="1130"/>
      <c r="H1137" s="1124"/>
      <c r="I1137" s="1125"/>
      <c r="J1137" s="1126"/>
      <c r="K1137" s="687"/>
      <c r="N1137" s="685"/>
      <c r="O1137" s="687"/>
      <c r="Q1137" s="1126"/>
      <c r="R1137" s="2"/>
      <c r="S1137" s="2"/>
      <c r="T1137" s="2"/>
      <c r="U1137" s="2"/>
      <c r="V1137" s="2"/>
      <c r="W1137" s="2"/>
      <c r="X1137" s="2"/>
      <c r="Y1137" s="2"/>
      <c r="Z1137" s="2"/>
      <c r="AA1137" s="2"/>
    </row>
    <row r="1138" spans="1:27" ht="15.75" customHeight="1">
      <c r="A1138" s="2"/>
      <c r="G1138" s="1130"/>
      <c r="H1138" s="1124"/>
      <c r="I1138" s="1125"/>
      <c r="J1138" s="1126"/>
      <c r="K1138" s="687"/>
      <c r="N1138" s="685"/>
      <c r="O1138" s="687"/>
      <c r="Q1138" s="1126"/>
      <c r="R1138" s="2"/>
      <c r="S1138" s="2"/>
      <c r="T1138" s="2"/>
      <c r="U1138" s="2"/>
      <c r="V1138" s="2"/>
      <c r="W1138" s="2"/>
      <c r="X1138" s="2"/>
      <c r="Y1138" s="2"/>
      <c r="Z1138" s="2"/>
      <c r="AA1138" s="2"/>
    </row>
    <row r="1139" spans="1:27" ht="15.75" customHeight="1">
      <c r="A1139" s="2"/>
      <c r="G1139" s="1130"/>
      <c r="H1139" s="1124"/>
      <c r="I1139" s="1125"/>
      <c r="J1139" s="1126"/>
      <c r="K1139" s="687"/>
      <c r="N1139" s="685"/>
      <c r="O1139" s="687"/>
      <c r="Q1139" s="1126"/>
      <c r="R1139" s="2"/>
      <c r="S1139" s="2"/>
      <c r="T1139" s="2"/>
      <c r="U1139" s="2"/>
      <c r="V1139" s="2"/>
      <c r="W1139" s="2"/>
      <c r="X1139" s="2"/>
      <c r="Y1139" s="2"/>
      <c r="Z1139" s="2"/>
      <c r="AA1139" s="2"/>
    </row>
    <row r="1140" spans="1:27" ht="15.75" customHeight="1">
      <c r="A1140" s="2"/>
      <c r="G1140" s="1130"/>
      <c r="H1140" s="1124"/>
      <c r="I1140" s="1125"/>
      <c r="J1140" s="1126"/>
      <c r="K1140" s="687"/>
      <c r="N1140" s="685"/>
      <c r="O1140" s="687"/>
      <c r="Q1140" s="1126"/>
      <c r="R1140" s="2"/>
      <c r="S1140" s="2"/>
      <c r="T1140" s="2"/>
      <c r="U1140" s="2"/>
      <c r="V1140" s="2"/>
      <c r="W1140" s="2"/>
      <c r="X1140" s="2"/>
      <c r="Y1140" s="2"/>
      <c r="Z1140" s="2"/>
      <c r="AA1140" s="2"/>
    </row>
    <row r="1141" spans="1:27" ht="15.75" customHeight="1">
      <c r="A1141" s="2"/>
      <c r="G1141" s="1130"/>
      <c r="H1141" s="1124"/>
      <c r="I1141" s="1125"/>
      <c r="J1141" s="1126"/>
      <c r="K1141" s="687"/>
      <c r="N1141" s="685"/>
      <c r="O1141" s="687"/>
      <c r="Q1141" s="1126"/>
      <c r="R1141" s="2"/>
      <c r="S1141" s="2"/>
      <c r="T1141" s="2"/>
      <c r="U1141" s="2"/>
      <c r="V1141" s="2"/>
      <c r="W1141" s="2"/>
      <c r="X1141" s="2"/>
      <c r="Y1141" s="2"/>
      <c r="Z1141" s="2"/>
      <c r="AA1141" s="2"/>
    </row>
    <row r="1142" spans="1:27" ht="15.75" customHeight="1">
      <c r="A1142" s="2"/>
      <c r="G1142" s="1130"/>
      <c r="H1142" s="1124"/>
      <c r="I1142" s="1125"/>
      <c r="J1142" s="1126"/>
      <c r="K1142" s="687"/>
      <c r="N1142" s="685"/>
      <c r="O1142" s="687"/>
      <c r="Q1142" s="1126"/>
      <c r="R1142" s="2"/>
      <c r="S1142" s="2"/>
      <c r="T1142" s="2"/>
      <c r="U1142" s="2"/>
      <c r="V1142" s="2"/>
      <c r="W1142" s="2"/>
      <c r="X1142" s="2"/>
      <c r="Y1142" s="2"/>
      <c r="Z1142" s="2"/>
      <c r="AA1142" s="2"/>
    </row>
    <row r="1143" spans="1:27" ht="15.75" customHeight="1">
      <c r="A1143" s="2"/>
      <c r="G1143" s="1130"/>
      <c r="H1143" s="1124"/>
      <c r="I1143" s="1125"/>
      <c r="J1143" s="1126"/>
      <c r="K1143" s="687"/>
      <c r="N1143" s="685"/>
      <c r="O1143" s="687"/>
      <c r="Q1143" s="1126"/>
      <c r="R1143" s="2"/>
      <c r="S1143" s="2"/>
      <c r="T1143" s="2"/>
      <c r="U1143" s="2"/>
      <c r="V1143" s="2"/>
      <c r="W1143" s="2"/>
      <c r="X1143" s="2"/>
      <c r="Y1143" s="2"/>
      <c r="Z1143" s="2"/>
      <c r="AA1143" s="2"/>
    </row>
    <row r="1144" spans="1:27" ht="15.75" customHeight="1">
      <c r="A1144" s="2"/>
      <c r="G1144" s="1130"/>
      <c r="H1144" s="1124"/>
      <c r="I1144" s="1125"/>
      <c r="J1144" s="1126"/>
      <c r="K1144" s="687"/>
      <c r="N1144" s="685"/>
      <c r="O1144" s="687"/>
      <c r="Q1144" s="1126"/>
      <c r="R1144" s="2"/>
      <c r="S1144" s="2"/>
      <c r="T1144" s="2"/>
      <c r="U1144" s="2"/>
      <c r="V1144" s="2"/>
      <c r="W1144" s="2"/>
      <c r="X1144" s="2"/>
      <c r="Y1144" s="2"/>
      <c r="Z1144" s="2"/>
      <c r="AA1144" s="2"/>
    </row>
    <row r="1145" spans="1:27" ht="15.75" customHeight="1">
      <c r="A1145" s="2"/>
      <c r="G1145" s="1130"/>
      <c r="H1145" s="1124"/>
      <c r="I1145" s="1125"/>
      <c r="J1145" s="1126"/>
      <c r="K1145" s="687"/>
      <c r="N1145" s="685"/>
      <c r="O1145" s="687"/>
      <c r="Q1145" s="1126"/>
      <c r="R1145" s="2"/>
      <c r="S1145" s="2"/>
      <c r="T1145" s="2"/>
      <c r="U1145" s="2"/>
      <c r="V1145" s="2"/>
      <c r="W1145" s="2"/>
      <c r="X1145" s="2"/>
      <c r="Y1145" s="2"/>
      <c r="Z1145" s="2"/>
      <c r="AA1145" s="2"/>
    </row>
    <row r="1146" spans="1:27" ht="15.75" customHeight="1">
      <c r="A1146" s="2"/>
      <c r="G1146" s="1130"/>
      <c r="H1146" s="1124"/>
      <c r="I1146" s="1125"/>
      <c r="J1146" s="1126"/>
      <c r="K1146" s="687"/>
      <c r="N1146" s="685"/>
      <c r="O1146" s="687"/>
      <c r="Q1146" s="1126"/>
      <c r="R1146" s="2"/>
      <c r="S1146" s="2"/>
      <c r="T1146" s="2"/>
      <c r="U1146" s="2"/>
      <c r="V1146" s="2"/>
      <c r="W1146" s="2"/>
      <c r="X1146" s="2"/>
      <c r="Y1146" s="2"/>
      <c r="Z1146" s="2"/>
      <c r="AA1146" s="2"/>
    </row>
    <row r="1147" spans="1:27" ht="15.75" customHeight="1">
      <c r="A1147" s="2"/>
      <c r="G1147" s="1130"/>
      <c r="H1147" s="1124"/>
      <c r="I1147" s="1125"/>
      <c r="J1147" s="1126"/>
      <c r="K1147" s="687"/>
      <c r="N1147" s="685"/>
      <c r="O1147" s="687"/>
      <c r="Q1147" s="1126"/>
      <c r="R1147" s="2"/>
      <c r="S1147" s="2"/>
      <c r="T1147" s="2"/>
      <c r="U1147" s="2"/>
      <c r="V1147" s="2"/>
      <c r="W1147" s="2"/>
      <c r="X1147" s="2"/>
      <c r="Y1147" s="2"/>
      <c r="Z1147" s="2"/>
      <c r="AA1147" s="2"/>
    </row>
    <row r="1148" spans="1:27" ht="15.75" customHeight="1">
      <c r="A1148" s="2"/>
      <c r="G1148" s="1130"/>
      <c r="H1148" s="1124"/>
      <c r="I1148" s="1125"/>
      <c r="J1148" s="1126"/>
      <c r="K1148" s="687"/>
      <c r="N1148" s="685"/>
      <c r="O1148" s="687"/>
      <c r="Q1148" s="1126"/>
      <c r="R1148" s="2"/>
      <c r="S1148" s="2"/>
      <c r="T1148" s="2"/>
      <c r="U1148" s="2"/>
      <c r="V1148" s="2"/>
      <c r="W1148" s="2"/>
      <c r="X1148" s="2"/>
      <c r="Y1148" s="2"/>
      <c r="Z1148" s="2"/>
      <c r="AA1148" s="2"/>
    </row>
    <row r="1149" spans="1:27" ht="15.75" customHeight="1">
      <c r="A1149" s="2"/>
      <c r="G1149" s="1130"/>
      <c r="H1149" s="1124"/>
      <c r="I1149" s="1125"/>
      <c r="J1149" s="1126"/>
      <c r="K1149" s="687"/>
      <c r="N1149" s="685"/>
      <c r="O1149" s="687"/>
      <c r="Q1149" s="1126"/>
      <c r="R1149" s="2"/>
      <c r="S1149" s="2"/>
      <c r="T1149" s="2"/>
      <c r="U1149" s="2"/>
      <c r="V1149" s="2"/>
      <c r="W1149" s="2"/>
      <c r="X1149" s="2"/>
      <c r="Y1149" s="2"/>
      <c r="Z1149" s="2"/>
      <c r="AA1149" s="2"/>
    </row>
    <row r="1150" spans="1:27" ht="15.75" customHeight="1">
      <c r="A1150" s="2"/>
      <c r="G1150" s="1130"/>
      <c r="H1150" s="1124"/>
      <c r="I1150" s="1125"/>
      <c r="J1150" s="1126"/>
      <c r="K1150" s="687"/>
      <c r="N1150" s="685"/>
      <c r="O1150" s="687"/>
      <c r="Q1150" s="1126"/>
      <c r="R1150" s="2"/>
      <c r="S1150" s="2"/>
      <c r="T1150" s="2"/>
      <c r="U1150" s="2"/>
      <c r="V1150" s="2"/>
      <c r="W1150" s="2"/>
      <c r="X1150" s="2"/>
      <c r="Y1150" s="2"/>
      <c r="Z1150" s="2"/>
      <c r="AA1150" s="2"/>
    </row>
    <row r="1151" spans="1:27" ht="15.75" customHeight="1">
      <c r="A1151" s="2"/>
      <c r="G1151" s="1130"/>
      <c r="H1151" s="1124"/>
      <c r="I1151" s="1125"/>
      <c r="J1151" s="1126"/>
      <c r="K1151" s="687"/>
      <c r="N1151" s="685"/>
      <c r="O1151" s="687"/>
      <c r="Q1151" s="1126"/>
      <c r="R1151" s="2"/>
      <c r="S1151" s="2"/>
      <c r="T1151" s="2"/>
      <c r="U1151" s="2"/>
      <c r="V1151" s="2"/>
      <c r="W1151" s="2"/>
      <c r="X1151" s="2"/>
      <c r="Y1151" s="2"/>
      <c r="Z1151" s="2"/>
      <c r="AA1151" s="2"/>
    </row>
    <row r="1152" spans="1:27" ht="15.75" customHeight="1">
      <c r="A1152" s="2"/>
      <c r="G1152" s="1130"/>
      <c r="H1152" s="1124"/>
      <c r="I1152" s="1125"/>
      <c r="J1152" s="1126"/>
      <c r="K1152" s="687"/>
      <c r="N1152" s="685"/>
      <c r="O1152" s="687"/>
      <c r="Q1152" s="1126"/>
      <c r="R1152" s="2"/>
      <c r="S1152" s="2"/>
      <c r="T1152" s="2"/>
      <c r="U1152" s="2"/>
      <c r="V1152" s="2"/>
      <c r="W1152" s="2"/>
      <c r="X1152" s="2"/>
      <c r="Y1152" s="2"/>
      <c r="Z1152" s="2"/>
      <c r="AA1152" s="2"/>
    </row>
    <row r="1153" spans="1:27" ht="15.75" customHeight="1">
      <c r="A1153" s="2"/>
      <c r="G1153" s="1130"/>
      <c r="H1153" s="1124"/>
      <c r="I1153" s="1125"/>
      <c r="J1153" s="1126"/>
      <c r="K1153" s="687"/>
      <c r="N1153" s="685"/>
      <c r="O1153" s="687"/>
      <c r="Q1153" s="1126"/>
      <c r="R1153" s="2"/>
      <c r="S1153" s="2"/>
      <c r="T1153" s="2"/>
      <c r="U1153" s="2"/>
      <c r="V1153" s="2"/>
      <c r="W1153" s="2"/>
      <c r="X1153" s="2"/>
      <c r="Y1153" s="2"/>
      <c r="Z1153" s="2"/>
      <c r="AA1153" s="2"/>
    </row>
    <row r="1154" spans="1:27" ht="15.75" customHeight="1">
      <c r="A1154" s="2"/>
      <c r="G1154" s="1130"/>
      <c r="H1154" s="1124"/>
      <c r="I1154" s="1125"/>
      <c r="J1154" s="1126"/>
      <c r="K1154" s="687"/>
      <c r="N1154" s="685"/>
      <c r="O1154" s="687"/>
      <c r="Q1154" s="1126"/>
      <c r="R1154" s="2"/>
      <c r="S1154" s="2"/>
      <c r="T1154" s="2"/>
      <c r="U1154" s="2"/>
      <c r="V1154" s="2"/>
      <c r="W1154" s="2"/>
      <c r="X1154" s="2"/>
      <c r="Y1154" s="2"/>
      <c r="Z1154" s="2"/>
      <c r="AA1154" s="2"/>
    </row>
    <row r="1155" spans="1:27" ht="15.75" customHeight="1">
      <c r="A1155" s="2"/>
      <c r="G1155" s="1130"/>
      <c r="H1155" s="1124"/>
      <c r="I1155" s="1125"/>
      <c r="J1155" s="1126"/>
      <c r="K1155" s="687"/>
      <c r="N1155" s="685"/>
      <c r="O1155" s="687"/>
      <c r="Q1155" s="1126"/>
      <c r="R1155" s="2"/>
      <c r="S1155" s="2"/>
      <c r="T1155" s="2"/>
      <c r="U1155" s="2"/>
      <c r="V1155" s="2"/>
      <c r="W1155" s="2"/>
      <c r="X1155" s="2"/>
      <c r="Y1155" s="2"/>
      <c r="Z1155" s="2"/>
      <c r="AA1155" s="2"/>
    </row>
    <row r="1156" spans="1:27" ht="15.75" customHeight="1">
      <c r="A1156" s="2"/>
      <c r="G1156" s="1130"/>
      <c r="H1156" s="1124"/>
      <c r="I1156" s="1125"/>
      <c r="J1156" s="1126"/>
      <c r="K1156" s="687"/>
      <c r="N1156" s="685"/>
      <c r="O1156" s="687"/>
      <c r="Q1156" s="1126"/>
      <c r="R1156" s="2"/>
      <c r="S1156" s="2"/>
      <c r="T1156" s="2"/>
      <c r="U1156" s="2"/>
      <c r="V1156" s="2"/>
      <c r="W1156" s="2"/>
      <c r="X1156" s="2"/>
      <c r="Y1156" s="2"/>
      <c r="Z1156" s="2"/>
      <c r="AA1156" s="2"/>
    </row>
    <row r="1157" spans="1:27" ht="15.75" customHeight="1">
      <c r="A1157" s="2"/>
      <c r="G1157" s="1130"/>
      <c r="H1157" s="1124"/>
      <c r="I1157" s="1125"/>
      <c r="J1157" s="1126"/>
      <c r="K1157" s="687"/>
      <c r="N1157" s="685"/>
      <c r="O1157" s="687"/>
      <c r="Q1157" s="1126"/>
      <c r="R1157" s="2"/>
      <c r="S1157" s="2"/>
      <c r="T1157" s="2"/>
      <c r="U1157" s="2"/>
      <c r="V1157" s="2"/>
      <c r="W1157" s="2"/>
      <c r="X1157" s="2"/>
      <c r="Y1157" s="2"/>
      <c r="Z1157" s="2"/>
      <c r="AA1157" s="2"/>
    </row>
    <row r="1158" spans="1:27" ht="15.75" customHeight="1">
      <c r="A1158" s="2"/>
      <c r="G1158" s="1130"/>
      <c r="H1158" s="1124"/>
      <c r="I1158" s="1125"/>
      <c r="J1158" s="1126"/>
      <c r="K1158" s="687"/>
      <c r="N1158" s="685"/>
      <c r="O1158" s="687"/>
      <c r="Q1158" s="1126"/>
      <c r="R1158" s="2"/>
      <c r="S1158" s="2"/>
      <c r="T1158" s="2"/>
      <c r="U1158" s="2"/>
      <c r="V1158" s="2"/>
      <c r="W1158" s="2"/>
      <c r="X1158" s="2"/>
      <c r="Y1158" s="2"/>
      <c r="Z1158" s="2"/>
      <c r="AA1158" s="2"/>
    </row>
    <row r="1159" spans="1:27" ht="15.75" customHeight="1">
      <c r="A1159" s="2"/>
      <c r="G1159" s="1130"/>
      <c r="H1159" s="1124"/>
      <c r="I1159" s="1125"/>
      <c r="J1159" s="1126"/>
      <c r="K1159" s="687"/>
      <c r="N1159" s="685"/>
      <c r="O1159" s="687"/>
      <c r="Q1159" s="1126"/>
      <c r="R1159" s="2"/>
      <c r="S1159" s="2"/>
      <c r="T1159" s="2"/>
      <c r="U1159" s="2"/>
      <c r="V1159" s="2"/>
      <c r="W1159" s="2"/>
      <c r="X1159" s="2"/>
      <c r="Y1159" s="2"/>
      <c r="Z1159" s="2"/>
      <c r="AA1159" s="2"/>
    </row>
    <row r="1160" spans="1:27" ht="15.75" customHeight="1">
      <c r="A1160" s="2"/>
      <c r="G1160" s="1130"/>
      <c r="H1160" s="1124"/>
      <c r="I1160" s="1125"/>
      <c r="J1160" s="1126"/>
      <c r="K1160" s="687"/>
      <c r="N1160" s="685"/>
      <c r="O1160" s="687"/>
      <c r="Q1160" s="1126"/>
      <c r="R1160" s="2"/>
      <c r="S1160" s="2"/>
      <c r="T1160" s="2"/>
      <c r="U1160" s="2"/>
      <c r="V1160" s="2"/>
      <c r="W1160" s="2"/>
      <c r="X1160" s="2"/>
      <c r="Y1160" s="2"/>
      <c r="Z1160" s="2"/>
      <c r="AA1160" s="2"/>
    </row>
    <row r="1161" spans="1:27" ht="15.75" customHeight="1">
      <c r="A1161" s="2"/>
      <c r="G1161" s="1130"/>
      <c r="H1161" s="1124"/>
      <c r="I1161" s="1125"/>
      <c r="J1161" s="1126"/>
      <c r="K1161" s="687"/>
      <c r="N1161" s="685"/>
      <c r="O1161" s="687"/>
      <c r="Q1161" s="1126"/>
      <c r="R1161" s="2"/>
      <c r="S1161" s="2"/>
      <c r="T1161" s="2"/>
      <c r="U1161" s="2"/>
      <c r="V1161" s="2"/>
      <c r="W1161" s="2"/>
      <c r="X1161" s="2"/>
      <c r="Y1161" s="2"/>
      <c r="Z1161" s="2"/>
      <c r="AA1161" s="2"/>
    </row>
    <row r="1162" spans="1:27" ht="15.75" customHeight="1">
      <c r="A1162" s="2"/>
      <c r="G1162" s="1130"/>
      <c r="H1162" s="1124"/>
      <c r="I1162" s="1125"/>
      <c r="J1162" s="1126"/>
      <c r="K1162" s="687"/>
      <c r="N1162" s="685"/>
      <c r="O1162" s="687"/>
      <c r="Q1162" s="1126"/>
      <c r="R1162" s="2"/>
      <c r="S1162" s="2"/>
      <c r="T1162" s="2"/>
      <c r="U1162" s="2"/>
      <c r="V1162" s="2"/>
      <c r="W1162" s="2"/>
      <c r="X1162" s="2"/>
      <c r="Y1162" s="2"/>
      <c r="Z1162" s="2"/>
      <c r="AA1162" s="2"/>
    </row>
    <row r="1163" spans="1:27" ht="15.75" customHeight="1">
      <c r="A1163" s="2"/>
      <c r="G1163" s="1130"/>
      <c r="H1163" s="1124"/>
      <c r="I1163" s="1125"/>
      <c r="J1163" s="1126"/>
      <c r="K1163" s="687"/>
      <c r="N1163" s="685"/>
      <c r="O1163" s="687"/>
      <c r="Q1163" s="1126"/>
      <c r="R1163" s="2"/>
      <c r="S1163" s="2"/>
      <c r="T1163" s="2"/>
      <c r="U1163" s="2"/>
      <c r="V1163" s="2"/>
      <c r="W1163" s="2"/>
      <c r="X1163" s="2"/>
      <c r="Y1163" s="2"/>
      <c r="Z1163" s="2"/>
      <c r="AA1163" s="2"/>
    </row>
    <row r="1164" spans="1:27" ht="15.75" customHeight="1">
      <c r="A1164" s="2"/>
      <c r="G1164" s="1130"/>
      <c r="H1164" s="1124"/>
      <c r="I1164" s="1125"/>
      <c r="J1164" s="1126"/>
      <c r="K1164" s="687"/>
      <c r="N1164" s="685"/>
      <c r="O1164" s="687"/>
      <c r="Q1164" s="1126"/>
      <c r="R1164" s="2"/>
      <c r="S1164" s="2"/>
      <c r="T1164" s="2"/>
      <c r="U1164" s="2"/>
      <c r="V1164" s="2"/>
      <c r="W1164" s="2"/>
      <c r="X1164" s="2"/>
      <c r="Y1164" s="2"/>
      <c r="Z1164" s="2"/>
      <c r="AA1164" s="2"/>
    </row>
    <row r="1165" spans="1:27" ht="15.75" customHeight="1">
      <c r="A1165" s="2"/>
      <c r="G1165" s="1130"/>
      <c r="H1165" s="1124"/>
      <c r="I1165" s="1125"/>
      <c r="J1165" s="1126"/>
      <c r="K1165" s="687"/>
      <c r="N1165" s="685"/>
      <c r="O1165" s="687"/>
      <c r="Q1165" s="1126"/>
      <c r="R1165" s="2"/>
      <c r="S1165" s="2"/>
      <c r="T1165" s="2"/>
      <c r="U1165" s="2"/>
      <c r="V1165" s="2"/>
      <c r="W1165" s="2"/>
      <c r="X1165" s="2"/>
      <c r="Y1165" s="2"/>
      <c r="Z1165" s="2"/>
      <c r="AA1165" s="2"/>
    </row>
    <row r="1166" spans="1:27" ht="15.75" customHeight="1">
      <c r="A1166" s="2"/>
      <c r="G1166" s="1130"/>
      <c r="H1166" s="1124"/>
      <c r="I1166" s="1125"/>
      <c r="J1166" s="1126"/>
      <c r="K1166" s="687"/>
      <c r="N1166" s="685"/>
      <c r="O1166" s="687"/>
      <c r="Q1166" s="1126"/>
      <c r="R1166" s="2"/>
      <c r="S1166" s="2"/>
      <c r="T1166" s="2"/>
      <c r="U1166" s="2"/>
      <c r="V1166" s="2"/>
      <c r="W1166" s="2"/>
      <c r="X1166" s="2"/>
      <c r="Y1166" s="2"/>
      <c r="Z1166" s="2"/>
      <c r="AA1166" s="2"/>
    </row>
    <row r="1167" spans="1:27" ht="15.75" customHeight="1">
      <c r="A1167" s="2"/>
      <c r="G1167" s="1130"/>
      <c r="H1167" s="1124"/>
      <c r="I1167" s="1125"/>
      <c r="J1167" s="1126"/>
      <c r="K1167" s="687"/>
      <c r="N1167" s="685"/>
      <c r="O1167" s="687"/>
      <c r="Q1167" s="1126"/>
      <c r="R1167" s="2"/>
      <c r="S1167" s="2"/>
      <c r="T1167" s="2"/>
      <c r="U1167" s="2"/>
      <c r="V1167" s="2"/>
      <c r="W1167" s="2"/>
      <c r="X1167" s="2"/>
      <c r="Y1167" s="2"/>
      <c r="Z1167" s="2"/>
      <c r="AA1167" s="2"/>
    </row>
    <row r="1168" spans="1:27" ht="15.75" customHeight="1">
      <c r="A1168" s="2"/>
      <c r="G1168" s="1130"/>
      <c r="H1168" s="1124"/>
      <c r="I1168" s="1125"/>
      <c r="J1168" s="1126"/>
      <c r="K1168" s="687"/>
      <c r="N1168" s="685"/>
      <c r="O1168" s="687"/>
      <c r="Q1168" s="1126"/>
      <c r="R1168" s="2"/>
      <c r="S1168" s="2"/>
      <c r="T1168" s="2"/>
      <c r="U1168" s="2"/>
      <c r="V1168" s="2"/>
      <c r="W1168" s="2"/>
      <c r="X1168" s="2"/>
      <c r="Y1168" s="2"/>
      <c r="Z1168" s="2"/>
      <c r="AA1168" s="2"/>
    </row>
    <row r="1169" spans="1:27" ht="15.75" customHeight="1">
      <c r="A1169" s="2"/>
      <c r="G1169" s="1130"/>
      <c r="H1169" s="1124"/>
      <c r="I1169" s="1125"/>
      <c r="J1169" s="1126"/>
      <c r="K1169" s="687"/>
      <c r="N1169" s="685"/>
      <c r="O1169" s="687"/>
      <c r="Q1169" s="1126"/>
      <c r="R1169" s="2"/>
      <c r="S1169" s="2"/>
      <c r="T1169" s="2"/>
      <c r="U1169" s="2"/>
      <c r="V1169" s="2"/>
      <c r="W1169" s="2"/>
      <c r="X1169" s="2"/>
      <c r="Y1169" s="2"/>
      <c r="Z1169" s="2"/>
      <c r="AA1169" s="2"/>
    </row>
    <row r="1170" spans="1:27" ht="15.75" customHeight="1">
      <c r="A1170" s="2"/>
      <c r="G1170" s="1130"/>
      <c r="H1170" s="1124"/>
      <c r="I1170" s="1125"/>
      <c r="J1170" s="1126"/>
      <c r="K1170" s="687"/>
      <c r="N1170" s="685"/>
      <c r="O1170" s="687"/>
      <c r="Q1170" s="1126"/>
      <c r="R1170" s="2"/>
      <c r="S1170" s="2"/>
      <c r="T1170" s="2"/>
      <c r="U1170" s="2"/>
      <c r="V1170" s="2"/>
      <c r="W1170" s="2"/>
      <c r="X1170" s="2"/>
      <c r="Y1170" s="2"/>
      <c r="Z1170" s="2"/>
      <c r="AA1170" s="2"/>
    </row>
    <row r="1171" spans="1:27" ht="15.75" customHeight="1">
      <c r="A1171" s="2"/>
      <c r="G1171" s="1130"/>
      <c r="H1171" s="1124"/>
      <c r="I1171" s="1125"/>
      <c r="J1171" s="1126"/>
      <c r="K1171" s="687"/>
      <c r="N1171" s="685"/>
      <c r="O1171" s="687"/>
      <c r="Q1171" s="1126"/>
      <c r="R1171" s="2"/>
      <c r="S1171" s="2"/>
      <c r="T1171" s="2"/>
      <c r="U1171" s="2"/>
      <c r="V1171" s="2"/>
      <c r="W1171" s="2"/>
      <c r="X1171" s="2"/>
      <c r="Y1171" s="2"/>
      <c r="Z1171" s="2"/>
      <c r="AA1171" s="2"/>
    </row>
    <row r="1172" spans="1:27" ht="15.75" customHeight="1">
      <c r="A1172" s="2"/>
      <c r="G1172" s="1130"/>
      <c r="H1172" s="1124"/>
      <c r="I1172" s="1125"/>
      <c r="J1172" s="1126"/>
      <c r="K1172" s="687"/>
      <c r="N1172" s="685"/>
      <c r="O1172" s="687"/>
      <c r="Q1172" s="1126"/>
      <c r="R1172" s="2"/>
      <c r="S1172" s="2"/>
      <c r="T1172" s="2"/>
      <c r="U1172" s="2"/>
      <c r="V1172" s="2"/>
      <c r="W1172" s="2"/>
      <c r="X1172" s="2"/>
      <c r="Y1172" s="2"/>
      <c r="Z1172" s="2"/>
      <c r="AA1172" s="2"/>
    </row>
    <row r="1173" spans="1:27" ht="15.75" customHeight="1">
      <c r="A1173" s="2"/>
      <c r="G1173" s="1130"/>
      <c r="H1173" s="1124"/>
      <c r="I1173" s="1125"/>
      <c r="J1173" s="1126"/>
      <c r="K1173" s="687"/>
      <c r="N1173" s="685"/>
      <c r="O1173" s="687"/>
      <c r="Q1173" s="1126"/>
      <c r="R1173" s="2"/>
      <c r="S1173" s="2"/>
      <c r="T1173" s="2"/>
      <c r="U1173" s="2"/>
      <c r="V1173" s="2"/>
      <c r="W1173" s="2"/>
      <c r="X1173" s="2"/>
      <c r="Y1173" s="2"/>
      <c r="Z1173" s="2"/>
      <c r="AA1173" s="2"/>
    </row>
    <row r="1174" spans="1:27" ht="15.75" customHeight="1">
      <c r="A1174" s="2"/>
      <c r="G1174" s="1130"/>
      <c r="H1174" s="1124"/>
      <c r="I1174" s="1125"/>
      <c r="J1174" s="1126"/>
      <c r="K1174" s="687"/>
      <c r="N1174" s="685"/>
      <c r="O1174" s="687"/>
      <c r="Q1174" s="1126"/>
      <c r="R1174" s="2"/>
      <c r="S1174" s="2"/>
      <c r="T1174" s="2"/>
      <c r="U1174" s="2"/>
      <c r="V1174" s="2"/>
      <c r="W1174" s="2"/>
      <c r="X1174" s="2"/>
      <c r="Y1174" s="2"/>
      <c r="Z1174" s="2"/>
      <c r="AA1174" s="2"/>
    </row>
    <row r="1175" spans="1:27" ht="15.75" customHeight="1">
      <c r="A1175" s="2"/>
      <c r="G1175" s="1130"/>
      <c r="H1175" s="1124"/>
      <c r="I1175" s="1125"/>
      <c r="J1175" s="1126"/>
      <c r="K1175" s="687"/>
      <c r="N1175" s="685"/>
      <c r="O1175" s="687"/>
      <c r="Q1175" s="1126"/>
      <c r="R1175" s="2"/>
      <c r="S1175" s="2"/>
      <c r="T1175" s="2"/>
      <c r="U1175" s="2"/>
      <c r="V1175" s="2"/>
      <c r="W1175" s="2"/>
      <c r="X1175" s="2"/>
      <c r="Y1175" s="2"/>
      <c r="Z1175" s="2"/>
      <c r="AA1175" s="2"/>
    </row>
    <row r="1176" spans="1:27" ht="15.75" customHeight="1">
      <c r="A1176" s="2"/>
      <c r="G1176" s="1130"/>
      <c r="H1176" s="1124"/>
      <c r="I1176" s="1125"/>
      <c r="J1176" s="1126"/>
      <c r="K1176" s="687"/>
      <c r="N1176" s="685"/>
      <c r="O1176" s="687"/>
      <c r="Q1176" s="1126"/>
      <c r="R1176" s="2"/>
      <c r="S1176" s="2"/>
      <c r="T1176" s="2"/>
      <c r="U1176" s="2"/>
      <c r="V1176" s="2"/>
      <c r="W1176" s="2"/>
      <c r="X1176" s="2"/>
      <c r="Y1176" s="2"/>
      <c r="Z1176" s="2"/>
      <c r="AA1176" s="2"/>
    </row>
    <row r="1177" spans="1:27" ht="15.75" customHeight="1">
      <c r="A1177" s="2"/>
      <c r="G1177" s="1130"/>
      <c r="H1177" s="1124"/>
      <c r="I1177" s="1125"/>
      <c r="J1177" s="1126"/>
      <c r="K1177" s="687"/>
      <c r="N1177" s="685"/>
      <c r="O1177" s="687"/>
      <c r="Q1177" s="1126"/>
      <c r="R1177" s="2"/>
      <c r="S1177" s="2"/>
      <c r="T1177" s="2"/>
      <c r="U1177" s="2"/>
      <c r="V1177" s="2"/>
      <c r="W1177" s="2"/>
      <c r="X1177" s="2"/>
      <c r="Y1177" s="2"/>
      <c r="Z1177" s="2"/>
      <c r="AA1177" s="2"/>
    </row>
    <row r="1178" spans="1:27" ht="15.75" customHeight="1">
      <c r="A1178" s="2"/>
      <c r="G1178" s="1130"/>
      <c r="H1178" s="1124"/>
      <c r="I1178" s="1125"/>
      <c r="J1178" s="1126"/>
      <c r="K1178" s="687"/>
      <c r="N1178" s="685"/>
      <c r="O1178" s="687"/>
      <c r="Q1178" s="1126"/>
      <c r="R1178" s="2"/>
      <c r="S1178" s="2"/>
      <c r="T1178" s="2"/>
      <c r="U1178" s="2"/>
      <c r="V1178" s="2"/>
      <c r="W1178" s="2"/>
      <c r="X1178" s="2"/>
      <c r="Y1178" s="2"/>
      <c r="Z1178" s="2"/>
      <c r="AA1178" s="2"/>
    </row>
    <row r="1179" spans="1:27" ht="15.75" customHeight="1">
      <c r="A1179" s="2"/>
      <c r="G1179" s="1130"/>
      <c r="H1179" s="1124"/>
      <c r="I1179" s="1125"/>
      <c r="J1179" s="1126"/>
      <c r="K1179" s="687"/>
      <c r="N1179" s="685"/>
      <c r="O1179" s="687"/>
      <c r="Q1179" s="1126"/>
      <c r="R1179" s="2"/>
      <c r="S1179" s="2"/>
      <c r="T1179" s="2"/>
      <c r="U1179" s="2"/>
      <c r="V1179" s="2"/>
      <c r="W1179" s="2"/>
      <c r="X1179" s="2"/>
      <c r="Y1179" s="2"/>
      <c r="Z1179" s="2"/>
      <c r="AA1179" s="2"/>
    </row>
    <row r="1180" spans="1:27" ht="15.75" customHeight="1">
      <c r="A1180" s="2"/>
      <c r="G1180" s="1130"/>
      <c r="H1180" s="1124"/>
      <c r="I1180" s="1125"/>
      <c r="J1180" s="1126"/>
      <c r="K1180" s="687"/>
      <c r="N1180" s="685"/>
      <c r="O1180" s="687"/>
      <c r="Q1180" s="1126"/>
      <c r="R1180" s="2"/>
      <c r="S1180" s="2"/>
      <c r="T1180" s="2"/>
      <c r="U1180" s="2"/>
      <c r="V1180" s="2"/>
      <c r="W1180" s="2"/>
      <c r="X1180" s="2"/>
      <c r="Y1180" s="2"/>
      <c r="Z1180" s="2"/>
      <c r="AA1180" s="2"/>
    </row>
    <row r="1181" spans="1:27" ht="15.75" customHeight="1">
      <c r="A1181" s="2"/>
      <c r="G1181" s="1130"/>
      <c r="H1181" s="1124"/>
      <c r="I1181" s="1125"/>
      <c r="J1181" s="1126"/>
      <c r="K1181" s="687"/>
      <c r="N1181" s="685"/>
      <c r="O1181" s="687"/>
      <c r="Q1181" s="1126"/>
      <c r="R1181" s="2"/>
      <c r="S1181" s="2"/>
      <c r="T1181" s="2"/>
      <c r="U1181" s="2"/>
      <c r="V1181" s="2"/>
      <c r="W1181" s="2"/>
      <c r="X1181" s="2"/>
      <c r="Y1181" s="2"/>
      <c r="Z1181" s="2"/>
      <c r="AA1181" s="2"/>
    </row>
    <row r="1182" spans="1:27" ht="15.75" customHeight="1">
      <c r="A1182" s="2"/>
      <c r="G1182" s="1130"/>
      <c r="H1182" s="1124"/>
      <c r="I1182" s="1125"/>
      <c r="J1182" s="1126"/>
      <c r="K1182" s="687"/>
      <c r="N1182" s="685"/>
      <c r="O1182" s="687"/>
      <c r="Q1182" s="1126"/>
      <c r="R1182" s="2"/>
      <c r="S1182" s="2"/>
      <c r="T1182" s="2"/>
      <c r="U1182" s="2"/>
      <c r="V1182" s="2"/>
      <c r="W1182" s="2"/>
      <c r="X1182" s="2"/>
      <c r="Y1182" s="2"/>
      <c r="Z1182" s="2"/>
      <c r="AA1182" s="2"/>
    </row>
    <row r="1183" spans="1:27" ht="15.75" customHeight="1">
      <c r="A1183" s="2"/>
      <c r="G1183" s="1130"/>
      <c r="H1183" s="1124"/>
      <c r="I1183" s="1125"/>
      <c r="J1183" s="1126"/>
      <c r="K1183" s="687"/>
      <c r="N1183" s="685"/>
      <c r="O1183" s="687"/>
      <c r="Q1183" s="1126"/>
      <c r="R1183" s="2"/>
      <c r="S1183" s="2"/>
      <c r="T1183" s="2"/>
      <c r="U1183" s="2"/>
      <c r="V1183" s="2"/>
      <c r="W1183" s="2"/>
      <c r="X1183" s="2"/>
      <c r="Y1183" s="2"/>
      <c r="Z1183" s="2"/>
      <c r="AA1183" s="2"/>
    </row>
    <row r="1184" spans="1:27" ht="15.75" customHeight="1">
      <c r="A1184" s="2"/>
      <c r="G1184" s="1130"/>
      <c r="H1184" s="1124"/>
      <c r="I1184" s="1125"/>
      <c r="J1184" s="1126"/>
      <c r="K1184" s="687"/>
      <c r="N1184" s="685"/>
      <c r="O1184" s="687"/>
      <c r="Q1184" s="1126"/>
      <c r="R1184" s="2"/>
      <c r="S1184" s="2"/>
      <c r="T1184" s="2"/>
      <c r="U1184" s="2"/>
      <c r="V1184" s="2"/>
      <c r="W1184" s="2"/>
      <c r="X1184" s="2"/>
      <c r="Y1184" s="2"/>
      <c r="Z1184" s="2"/>
      <c r="AA1184" s="2"/>
    </row>
    <row r="1185" spans="1:27" ht="15.75" customHeight="1">
      <c r="A1185" s="2"/>
      <c r="G1185" s="1130"/>
      <c r="H1185" s="1124"/>
      <c r="I1185" s="1125"/>
      <c r="J1185" s="1126"/>
      <c r="K1185" s="687"/>
      <c r="N1185" s="685"/>
      <c r="O1185" s="687"/>
      <c r="Q1185" s="1126"/>
      <c r="R1185" s="2"/>
      <c r="S1185" s="2"/>
      <c r="T1185" s="2"/>
      <c r="U1185" s="2"/>
      <c r="V1185" s="2"/>
      <c r="W1185" s="2"/>
      <c r="X1185" s="2"/>
      <c r="Y1185" s="2"/>
      <c r="Z1185" s="2"/>
      <c r="AA1185" s="2"/>
    </row>
    <row r="1186" spans="1:27" ht="15.75" customHeight="1">
      <c r="A1186" s="2"/>
      <c r="G1186" s="1130"/>
      <c r="H1186" s="1124"/>
      <c r="I1186" s="1125"/>
      <c r="J1186" s="1126"/>
      <c r="K1186" s="687"/>
      <c r="N1186" s="685"/>
      <c r="O1186" s="687"/>
      <c r="Q1186" s="1126"/>
      <c r="R1186" s="2"/>
      <c r="S1186" s="2"/>
      <c r="T1186" s="2"/>
      <c r="U1186" s="2"/>
      <c r="V1186" s="2"/>
      <c r="W1186" s="2"/>
      <c r="X1186" s="2"/>
      <c r="Y1186" s="2"/>
      <c r="Z1186" s="2"/>
      <c r="AA1186" s="2"/>
    </row>
    <row r="1187" spans="1:27" ht="15.75" customHeight="1">
      <c r="A1187" s="2"/>
      <c r="G1187" s="1130"/>
      <c r="H1187" s="1124"/>
      <c r="I1187" s="1125"/>
      <c r="J1187" s="1126"/>
      <c r="K1187" s="687"/>
      <c r="N1187" s="685"/>
      <c r="O1187" s="687"/>
      <c r="Q1187" s="1126"/>
      <c r="R1187" s="2"/>
      <c r="S1187" s="2"/>
      <c r="T1187" s="2"/>
      <c r="U1187" s="2"/>
      <c r="V1187" s="2"/>
      <c r="W1187" s="2"/>
      <c r="X1187" s="2"/>
      <c r="Y1187" s="2"/>
      <c r="Z1187" s="2"/>
      <c r="AA1187" s="2"/>
    </row>
    <row r="1188" spans="1:27" ht="15.75" customHeight="1">
      <c r="A1188" s="2"/>
      <c r="G1188" s="1130"/>
      <c r="H1188" s="1124"/>
      <c r="I1188" s="1125"/>
      <c r="J1188" s="1126"/>
      <c r="K1188" s="687"/>
      <c r="N1188" s="685"/>
      <c r="O1188" s="687"/>
      <c r="Q1188" s="1126"/>
      <c r="R1188" s="2"/>
      <c r="S1188" s="2"/>
      <c r="T1188" s="2"/>
      <c r="U1188" s="2"/>
      <c r="V1188" s="2"/>
      <c r="W1188" s="2"/>
      <c r="X1188" s="2"/>
      <c r="Y1188" s="2"/>
      <c r="Z1188" s="2"/>
      <c r="AA1188" s="2"/>
    </row>
    <row r="1189" spans="1:27" ht="15.75" customHeight="1">
      <c r="A1189" s="2"/>
      <c r="G1189" s="1130"/>
      <c r="H1189" s="1124"/>
      <c r="I1189" s="1125"/>
      <c r="J1189" s="1126"/>
      <c r="K1189" s="687"/>
      <c r="N1189" s="685"/>
      <c r="O1189" s="687"/>
      <c r="Q1189" s="1126"/>
      <c r="R1189" s="2"/>
      <c r="S1189" s="2"/>
      <c r="T1189" s="2"/>
      <c r="U1189" s="2"/>
      <c r="V1189" s="2"/>
      <c r="W1189" s="2"/>
      <c r="X1189" s="2"/>
      <c r="Y1189" s="2"/>
      <c r="Z1189" s="2"/>
      <c r="AA1189" s="2"/>
    </row>
    <row r="1190" spans="1:27" ht="15.75" customHeight="1">
      <c r="A1190" s="2"/>
      <c r="G1190" s="1130"/>
      <c r="H1190" s="1124"/>
      <c r="I1190" s="1125"/>
      <c r="J1190" s="1126"/>
      <c r="K1190" s="687"/>
      <c r="N1190" s="685"/>
      <c r="O1190" s="687"/>
      <c r="Q1190" s="1126"/>
      <c r="R1190" s="2"/>
      <c r="S1190" s="2"/>
      <c r="T1190" s="2"/>
      <c r="U1190" s="2"/>
      <c r="V1190" s="2"/>
      <c r="W1190" s="2"/>
      <c r="X1190" s="2"/>
      <c r="Y1190" s="2"/>
      <c r="Z1190" s="2"/>
      <c r="AA1190" s="2"/>
    </row>
    <row r="1191" spans="1:27" ht="15.75" customHeight="1">
      <c r="A1191" s="2"/>
      <c r="G1191" s="1130"/>
      <c r="H1191" s="1124"/>
      <c r="I1191" s="1125"/>
      <c r="J1191" s="1126"/>
      <c r="K1191" s="687"/>
      <c r="N1191" s="685"/>
      <c r="O1191" s="687"/>
      <c r="Q1191" s="1126"/>
      <c r="R1191" s="2"/>
      <c r="S1191" s="2"/>
      <c r="T1191" s="2"/>
      <c r="U1191" s="2"/>
      <c r="V1191" s="2"/>
      <c r="W1191" s="2"/>
      <c r="X1191" s="2"/>
      <c r="Y1191" s="2"/>
      <c r="Z1191" s="2"/>
      <c r="AA1191" s="2"/>
    </row>
    <row r="1192" spans="1:27" ht="15.75" customHeight="1">
      <c r="A1192" s="2"/>
      <c r="G1192" s="1130"/>
      <c r="H1192" s="1124"/>
      <c r="I1192" s="1125"/>
      <c r="J1192" s="1126"/>
      <c r="K1192" s="687"/>
      <c r="N1192" s="685"/>
      <c r="O1192" s="687"/>
      <c r="Q1192" s="1126"/>
      <c r="R1192" s="2"/>
      <c r="S1192" s="2"/>
      <c r="T1192" s="2"/>
      <c r="U1192" s="2"/>
      <c r="V1192" s="2"/>
      <c r="W1192" s="2"/>
      <c r="X1192" s="2"/>
      <c r="Y1192" s="2"/>
      <c r="Z1192" s="2"/>
      <c r="AA1192" s="2"/>
    </row>
    <row r="1193" spans="1:27" ht="15.75" customHeight="1">
      <c r="A1193" s="2"/>
      <c r="G1193" s="1130"/>
      <c r="H1193" s="1124"/>
      <c r="I1193" s="1125"/>
      <c r="J1193" s="1126"/>
      <c r="K1193" s="687"/>
      <c r="N1193" s="685"/>
      <c r="O1193" s="687"/>
      <c r="Q1193" s="1126"/>
      <c r="R1193" s="2"/>
      <c r="S1193" s="2"/>
      <c r="T1193" s="2"/>
      <c r="U1193" s="2"/>
      <c r="V1193" s="2"/>
      <c r="W1193" s="2"/>
      <c r="X1193" s="2"/>
      <c r="Y1193" s="2"/>
      <c r="Z1193" s="2"/>
      <c r="AA1193" s="2"/>
    </row>
    <row r="1194" spans="1:27" ht="15.75" customHeight="1">
      <c r="A1194" s="2"/>
      <c r="G1194" s="1130"/>
      <c r="H1194" s="1124"/>
      <c r="I1194" s="1125"/>
      <c r="J1194" s="1126"/>
      <c r="K1194" s="687"/>
      <c r="N1194" s="685"/>
      <c r="O1194" s="687"/>
      <c r="Q1194" s="1126"/>
      <c r="R1194" s="2"/>
      <c r="S1194" s="2"/>
      <c r="T1194" s="2"/>
      <c r="U1194" s="2"/>
      <c r="V1194" s="2"/>
      <c r="W1194" s="2"/>
      <c r="X1194" s="2"/>
      <c r="Y1194" s="2"/>
      <c r="Z1194" s="2"/>
      <c r="AA1194" s="2"/>
    </row>
  </sheetData>
  <autoFilter ref="A6:AA378" xr:uid="{00000000-0009-0000-0000-00000E000000}"/>
  <mergeCells count="1">
    <mergeCell ref="B5:E5"/>
  </mergeCells>
  <conditionalFormatting sqref="B7 C7:C27 B10 B13 B16:B19 B22:B25 B30 C30:C50 B33 B36 B39:B48 B53 C53:C73 B56 B59 B62:B71 B76 C76:C96 B79 B82 B85:B94 B99 C99:C119 B102 B105 B108:B117 B122 C122:C142 B125 B128 B131:B140 B145 C145:C165 B148 B151 B154:B163 B168 C168:C188 B171 B174 B177:B186 B191 C191:C211 B194 B197 B200:B209 B211 B214 C214:C234 B217 B220 B223:B232 B234 B237 C237:C257 B240 B243 B246:B255 B257 B260 C260:C280 B263 B266 B269:B278 B280 B283 C283:C303 B286 B289 B292:B301 B303 B306 C306:C326 B309 B312 B315:B324 B326 B329 C329:C349 B332 B335 B338:B347 B349">
    <cfRule type="expression" dxfId="62" priority="57">
      <formula>$D$7&gt;0</formula>
    </cfRule>
    <cfRule type="expression" dxfId="61" priority="58">
      <formula>$C$7&gt;0</formula>
    </cfRule>
  </conditionalFormatting>
  <conditionalFormatting sqref="B7 C7:C27 B10 B13 B16:B19 B22:B25 B30 C30:C50 B33 B36 B39:B48 B53 C53:C73 B56 B59 B62:B71 B76 C76:C96 B79 B82 B85:B94 B99 C99:C119 B102 B105 B108:B117 B122 C122:C142 B125 B128 B131:B140 B145 C145:C165 B148 B151 B154:B163 B168 C168:C188 B171 B174 B177:B186 B191 C191:C211 B194 B197 B200:B209 B214 C214:C234 B217 B220 B223:B232 B237 C237:C257 B240 B243 B246:B255 B260 C260:C280 B263 B266 B269:B278 B283 C283:C303 B286 B289 B292:B301 B306 C306:C326 B309 B312 B315:B324 B329 C329:C349 B332 B335 B338:B347">
    <cfRule type="expression" dxfId="60" priority="30">
      <formula>$E$7&gt;0</formula>
    </cfRule>
  </conditionalFormatting>
  <conditionalFormatting sqref="B7:B27 C8 B30:B50 C31 B53:B73 C54 B76:B96 C77 B99:B119 C100 B122:B142 C123 B145:B165 C146 B168:B188 C169 B191:B211 C192 B214:B234 C215 B237:B257 C238 B260:B280 C261 B283:B303 C284 B306:B326 C307 B329:B349 C330">
    <cfRule type="expression" dxfId="59" priority="41">
      <formula>$E$8&gt;0</formula>
    </cfRule>
  </conditionalFormatting>
  <conditionalFormatting sqref="B13 C13:C25 B16 B19 B22:B25 C27 B36 C36:C48 B39 B42:B48 C50 B59 C59:C71 B62 B65:B71 C73 B82 C82:C94 B85 B88:B94 C96 B105 C105:C117 B108 B111:B117 C119 B128 C128:C140 B131 B134:B140 C142 B151 C151:C163 B154:B163 C165 B174 C174:C186 B177:B186 C188 B197 C197:C209 B200:B209 C211 B220 C220:C232 B223:B232 C234 B243 C243:C255 B246:B255 C257 B266 C266:C278 B269:B278 C280 B289 C289:C301 B292:B301 C303 B312 C312:C324 B315:B324 C326 B335 C335:C347 B338:B347 C349">
    <cfRule type="expression" dxfId="58" priority="35">
      <formula>$E$13&gt;0</formula>
    </cfRule>
    <cfRule type="expression" dxfId="57" priority="63">
      <formula>$D$13&gt;0</formula>
    </cfRule>
  </conditionalFormatting>
  <conditionalFormatting sqref="B7:C27 B30:C50 B53:C73 B76:C96 B99:C119 B122:C142 B145:C165 B168:C188 B191:C211 B214:C234 B237:C257 B260:C280 B283:C303 B306:C326 B329:C349">
    <cfRule type="expression" dxfId="56" priority="69">
      <formula>$D$8&gt;0</formula>
    </cfRule>
  </conditionalFormatting>
  <conditionalFormatting sqref="B9:C9 B12:C12 B15:C15 B18:C18 B21:C21 B24:C24 B27:C27 B32:C32 B35:C35 B38:C38 B41:C41 B44:C44 B47:C47 B50:C50 B55:C55 B58:C58 B61:C61 B64:C64 B67:C70 B73:C73 B78:C78 B81:C81 B84:C84 B87:C87 B90:C93 B96:C96 B101:C101 B104:C104 B107:C107 B110:C110 B113:C116 B119:C119 B124:C124 B127:C127 B130:C130 B133:C133 B136:C139 B142:C142 B147:C147 B150:C150 B153:C153 B156:C156 B159:C162 B165:C165 B170:C170 B173:C173 B176:C176 B179:C179 B182:C185 B188:C188 B193:C193 B196:C196 B199:C199 B202:C202 B205:C208 B211:C211 B216:C216 B219:C219 B222:C222 B225:C225 B228:C231 B234:C234 B239:C239 B242:C242 B245:C245 B248:C248 B251:C254 B257:C257 B262:C262 B265:C265 B268:C268 B271:C271 B274:C277 B280:C280 B285:C285 B288:C288 B291:C291 B294:C294 B297:C300 B303:C303 B308:C308 B311:C311 B314:C314 B317:C317 B320:C323 B326:C326 B331:C331 B334:C334 B337:C337 B340:C340 B343:C346 B349:C349">
    <cfRule type="expression" dxfId="55" priority="62">
      <formula>$D$12&gt;0</formula>
    </cfRule>
    <cfRule type="expression" dxfId="54" priority="59">
      <formula>$D$9&gt;0</formula>
    </cfRule>
    <cfRule type="expression" dxfId="53" priority="31">
      <formula>$E$9&gt;0</formula>
    </cfRule>
    <cfRule type="expression" dxfId="52" priority="34">
      <formula>$E$12&gt;0</formula>
    </cfRule>
  </conditionalFormatting>
  <conditionalFormatting sqref="B11:C11 B14:C14 B17:C17 B20:C20 B23:C23 B26:C26 B34:C34 B37:C37 B40:C40 B43:C43 B46:C46 B49:C49 B57:C57 B60:C60 B63:C63 B66:C66 B69:C69 B72:C72 B80:C80 B83:C83 B86:C86 B89:C89 B92:C92 B95:C95 B103:C103 B106:C106 B109:C109 B112:C112 B115:C115 B118:C118 B126:C126 B129:C129 B132:C132 B135:C135 B138:C138 B141:C141 B149:C149 B152:C152 B155:C155 B158:C158 B161:C161 B164:C164 B172:C172 B175:C175 B178:C178 B181:C181 B184:C184 B187:C187 B195:C195 B198:C198 B201:C201 B204:C204 B207:C207 B210:C210 B218:C218 B221:C221 B224:C224 B227:C227 B230:C230 B233:C233 B241:C241 B244:C244 B247:C247 B250:C250 B253:C253 B256:C256 B264:C264 B267:C267 B270:C270 B273:C273 B276:C276 B279:C279 B287:C287 B290:C290 B293:C293 B296:C296 B299:C299 B302:C302 B310:C310 B313:C313 B316:C316 B319:C319 B322:C322 B325:C325 B333:C333 B336:C336 B339:C339 B342:C342 B345:C345 B348:C348">
    <cfRule type="expression" dxfId="51" priority="61">
      <formula>$D$11&gt;0</formula>
    </cfRule>
    <cfRule type="expression" dxfId="50" priority="33">
      <formula>$E$11&gt;0</formula>
    </cfRule>
  </conditionalFormatting>
  <conditionalFormatting sqref="B14:C14 B17 B20:C20 B23:C23 B26 B37:C37 B40 B43:C43 B46:C46 B49 B60:C60 B63 B66:C66 B69:C69 B72 B83:C83 B86 B89:C89 B92:C92 B95 B106:C106 B109 B112:C112 B115:C115 B118 B129:C129 B132 B135:C135 B138:C138 B141 B152:C152 B155 B158:C158 B161:C161 B164 B175:C175 B178 B181:C181 B184:C184 B187 B198:C198 B201 B204:C204 B207:C207 B210 B221:C221 B224 B227:C227 B230:C230 B233 B244:C244 B247 B250:C250 B253:C253 B256 B267:C267 B270 B273:C273 B276:C276 B279 B290:C290 B293 B296:C296 B299:C299 B302 B313:C313 B316 B319:C319 B322:C322 B325 B336:C336 B339 B342:C342 B345:C345 B348">
    <cfRule type="expression" dxfId="49" priority="64">
      <formula>$D$14&gt;0</formula>
    </cfRule>
  </conditionalFormatting>
  <conditionalFormatting sqref="B14:C14 B17 B20:C20 B23:C23 B26 B37:C37 B40 B43:C43 B46:C46 B49 C53 B60:C60 B63 B66:C66 B69:C69 B72 C76 B83:C83 B86 B89:C89 B92:C92 B95 C99 B106:C106 B109 B112:C112 B115:C115 B118 C122 B129:C129 B132 B135:C135 B138:C138 B141 C145 B152:C152 B155 B158:C158 B161:C161 B164 C168 B175:C175 B178 B181:C181 B184:C184 B187 C191 B198:C198 B201 B204:C204 B207:C207 B210 C214 B221:C221 B224 B227:C227 B230:C230 B233 C237 B244:C244 B247 B250:C250 B253:C253 B256 C260 B267:C267 B270 B273:C273 B276:C276 B279 C283 B290:C290 B293 B296:C296 B299:C299 B302 C306 B313:C313 B316 B319:C319 B322:C322 B325 C329 B336:C336 B339 B342:C342 B345:C345 B348">
    <cfRule type="expression" dxfId="48" priority="36">
      <formula>$E$14&gt;0</formula>
    </cfRule>
  </conditionalFormatting>
  <conditionalFormatting sqref="B15:C25 B27:C27 B38:C48 B50:C50 B61:C71 B73:C73 B84:C94 B96:C96 B101:C101 B104 B107:C117 B119:C119 B124:C124 B127 B130:C140 B142:C142 B147:C147 B150 B153:C163 B165:C165 B170:C170 B173 B176:C186 B188:C188 B193:C193 B196 B199:C209 B211:C211 B216:C216 B219 B222:C232 B234:C234 B239:C239 B242 B245:C255 B257:C257 B262:C262 B265 B268:C278 B280:C280 B285:C285 B288 B291:C301 B303:C303 B308:C308 B311 B314:C324 B326:C326 B331:C331 B334 B337:C347 B349:C349">
    <cfRule type="expression" dxfId="47" priority="65">
      <formula>$D$25&gt;0</formula>
    </cfRule>
  </conditionalFormatting>
  <conditionalFormatting sqref="B15:C25 B27:C27 B38:C48 B50:C50 C54 B61:C71 B73:C73 C77 B84:C94 B96:C96 C100 B107:C117 B119:C119 C123 B130:C140 B142:C142 C146 B153:C163 B165:C165 C169 B176:C186 B188:C188 C192 B199:C209 B211:C211 C215 B222:C232 B234:C234 C238 B245:C255 B257:C257 C261 B268:C278 B280:C280 C284 B291:C301 B303:C303 C307 B314:C324 B326:C326 C330 B337:C347 B349:C349">
    <cfRule type="expression" dxfId="46" priority="37">
      <formula>$E$25&gt;0</formula>
    </cfRule>
  </conditionalFormatting>
  <conditionalFormatting sqref="B22:C26 B45:C49 B68:C72 B85:C95 B108:C118 B131:C141 B154:C164 B177:C187 B200:C210 B223:C233 B246:C256 B269:C279 B292:C302 B315:C325 B338:C348">
    <cfRule type="expression" dxfId="45" priority="66">
      <formula>$D$26&gt;0</formula>
    </cfRule>
  </conditionalFormatting>
  <conditionalFormatting sqref="B22:C26 B45:C49 C55 B68:C72 C78 C84 B91:C95 C101 C107 B114:C118 C124 C130 B137:C141 C147 C153 B160:C164 C170 C176 B183:C187 C193 C199 B206:C210 C216 C222 B229:C233 C239 C245 B252:C256 C262 C268 B275:C279 C285 C291 B298:C302 C308 C314 B321:C325 C331 C337 B344:C348">
    <cfRule type="expression" dxfId="44" priority="38">
      <formula>$E$26&gt;0</formula>
    </cfRule>
  </conditionalFormatting>
  <conditionalFormatting sqref="B26:C27 B49:C50 B72:C73 B95:C96 B118:C119 B141:C142 B164:C165 B187:C188 B210:C211 B233:C234 B256:C257 B279:C280 B302:C303 B325:C326 B348:C349">
    <cfRule type="expression" dxfId="43" priority="67">
      <formula>$D$27&gt;0</formula>
    </cfRule>
  </conditionalFormatting>
  <conditionalFormatting sqref="B26:C27 B49:C50 C56 B72:C73 C79 B95:C96 C102 B118:C119 C125 B141:C142 C148 B164:C165 C171 B187:C188 C194 B210:C211 C215:C217 B233:C234 C238:C240 B256:C257 C261:C263 B279:C280 C284:C286 B302:C303 C307:C309 B325:C326 C330:C332 B348:C349">
    <cfRule type="expression" dxfId="42" priority="39">
      <formula>$E$27&gt;0</formula>
    </cfRule>
  </conditionalFormatting>
  <conditionalFormatting sqref="B27:C27 B50:C50 C57 B73:C73 C80 B96:C96 C103 B119:C119 C126 B142:C142 C149 B165:C165 C172 B188:C188 C195 B211:C211 C218 B234:C234 C241 B257:C257 C264 B280:C280 C287 B303:C303 C310 B326:C326 C333 B349:C349">
    <cfRule type="expression" dxfId="41" priority="40">
      <formula>#REF!&gt;0</formula>
    </cfRule>
  </conditionalFormatting>
  <conditionalFormatting sqref="C10:C16 B10:B19 C18:C19 B21:C25 B27:C27 C33:C39 B33:B48 C41:C48 B50:C50 C56:C62 B56:B71 C64:C71 B73:C73 C79:C85 B79:B94 C87:C94 B96:C96 C102:C108 B102:B117 C110:C117 B119:C119 C125:C131 B125:B140 C133:C140 B142:C142 B148:C163 B165:C165 B171:C186 B188:C188 B194:C209 B211:C211 B217:C232 B234:C234 B240:C255 B257:C257 B263:C278 B280:C280 B286:C301 B303:C303 B309:C324 B326:C326 B332:C347 B349:C349">
    <cfRule type="expression" dxfId="40" priority="32">
      <formula>$E$10&gt;0</formula>
    </cfRule>
  </conditionalFormatting>
  <conditionalFormatting sqref="C10:C16 B10:B19 C18:C19 B21:C25 B27:C27 C33:C39 B33:B48 C41:C48 B50:C50 C56:C62 B56:B71 C64:C71 B73:C73 C79:C85 B79:B94 C87:C94 B96:C96 C102:C108 B102:B117 C110:C117 B119:C119 C125:C131 B125:B142 C133:C140 C142 C148:C163 B148:B165 C165 C171:C186 B171:B188 C188 C194:C209 B194:B211 C211 C217:C232 B217:B234 C234 C240:C255 B240:B257 C257 C263:C278 B263:B280 C280 C286:C301 B286:B303 C303 C309:C324 B309:B326 C326 C332:C347 B332:B349 C349">
    <cfRule type="expression" dxfId="39" priority="60">
      <formula>$D$10&gt;0</formula>
    </cfRule>
  </conditionalFormatting>
  <conditionalFormatting sqref="C53 C76 C99 C122 C145 C168 C191 C214 C237 C260 C283 C306 C329">
    <cfRule type="expression" dxfId="38" priority="8">
      <formula>$C$14&gt;0</formula>
    </cfRule>
  </conditionalFormatting>
  <conditionalFormatting sqref="C58 C81 C104 C127 C150 C173 C196 C219 C242 C265 C288 C311 C334">
    <cfRule type="expression" dxfId="37" priority="9">
      <formula>$E$28&gt;0</formula>
    </cfRule>
  </conditionalFormatting>
  <conditionalFormatting sqref="C59 C82 C105 C128 C151 C174 C197 C220 C243 C266 C289 C312 C335">
    <cfRule type="expression" dxfId="36" priority="10">
      <formula>$E$29&gt;0</formula>
    </cfRule>
  </conditionalFormatting>
  <conditionalFormatting sqref="C60 C83 C106 C129 C152 C175 C198 C221 C244 C267 C290 C313 C336">
    <cfRule type="expression" dxfId="35" priority="11">
      <formula>$E$30&gt;0</formula>
    </cfRule>
  </conditionalFormatting>
  <conditionalFormatting sqref="C61:C70 C84:C93 C107:C116 C130:C139 C153:C162 C176:C185 C199:C208 C222:C231 C245:C254 C268:C277 C291:C300 C314:C323 C337:C346">
    <cfRule type="expression" dxfId="34" priority="12">
      <formula>$E$31&gt;0</formula>
    </cfRule>
  </conditionalFormatting>
  <conditionalFormatting sqref="C71 C94 C117 C140 C163 C186 C209 C232 C255 C278 C301 C324 C347">
    <cfRule type="expression" dxfId="33" priority="13">
      <formula>$E$32&gt;0</formula>
    </cfRule>
  </conditionalFormatting>
  <conditionalFormatting sqref="C72 C95 C118 C141 C164 C187 C210 C233 C256 C279 C302 C325 C348">
    <cfRule type="expression" dxfId="32" priority="14">
      <formula>$E$39&gt;0</formula>
    </cfRule>
  </conditionalFormatting>
  <conditionalFormatting sqref="C73 C96 C119 C142 C165 C188 C211 C234 C257 C280 C303 C326 C349">
    <cfRule type="expression" dxfId="31" priority="15">
      <formula>$E$40&gt;0</formula>
    </cfRule>
  </conditionalFormatting>
  <conditionalFormatting sqref="E7:E350 E352">
    <cfRule type="cellIs" dxfId="30" priority="70" operator="greaterThan">
      <formula>0</formula>
    </cfRule>
  </conditionalFormatting>
  <conditionalFormatting sqref="E124:E132 E147:E165 E170:E188 E193:E211 E216:E234 E239:E257 E260:E280 E283:E303 E306:E326 E329:E349">
    <cfRule type="expression" dxfId="29" priority="42">
      <formula>#REF!&gt;0</formula>
    </cfRule>
  </conditionalFormatting>
  <conditionalFormatting sqref="E134:E142">
    <cfRule type="expression" dxfId="28" priority="46">
      <formula>#REF!&gt;0</formula>
    </cfRule>
  </conditionalFormatting>
  <conditionalFormatting sqref="E9:F9 E12:F12 E15:F15 E18:F18 E21:F21 E24:F24 E26:F27 E32:F32 E35:F35 E38:F38 E41:F41 E44:F44 E47:F47 E49:F50 E55:F55 E58:F58 E61:F61 E64:F64 E67:F70 E72:F73 E78:F78 E81:F81 E84:F84 E87:F87 E90:F93 E95:F96 E101:F101 E104:F104 E107:F107 E110:F110 E113:F116 E118:F119 E124:F124 E127:F127 E130:F130 E133:F133 E136:F139 E141:F142 E147:F147 E150:F150 E153:F153 E156:F156 E159:F162 E164:F165 E170:F170 E173:F173 E176:F176 E179:F179 E182:F185 E187:F188 E193:F193 E196:F196 E199:F199 E202:F202 E205:F208 E210:F211 E216:F216 E219:F219 E222:F222 E225:F225 E228:F231 E233:F234 E239:F239 E242:F242 E245:F245 E248:F248 E251:F254 E256:F257 E262:F262 E265:F265 E268:F268 E271:F271 E274:F277 E279:F280 E285:F285 E288:F288 E291:F291 E294:F294 E297:F300 E302:F303 E308:F308 E311:F311 E314:F314 E317:F317 E320:F323 E325:F326 E331:F331 E334:F334 E337:F337 E340:F340 E343:F346 E348:F349">
    <cfRule type="expression" dxfId="27" priority="52">
      <formula>#REF!&gt;0</formula>
    </cfRule>
  </conditionalFormatting>
  <conditionalFormatting sqref="G7:G27 H9 H12 H15 H18 H21 H24 H27 G30:G50 H32 H35 H38 H41 H44 H47 H50 G53:G73 H55 H58 H61 H64 H67:H70 H73 G76:G96 H78 H81 H84 H87 H90:H93 H96 G99:G119 H101 H104 H107 H110 H113:H116 H119 G122:G142 H124 H127 H130 H133 H136:H139 H142 G145:G165 H147 H150 H153 H156 H159:H162 H165 G168:G188 H170 H173 H176 H179 H182:H185 H188 G191:G211 H193 H196 H199 H202 H205:H208 H211 G214:G234 H216 H219 H222 H225 H228:H231 H234 G237:G257 H239 H242 H245 H248 H251:H254 H257 G260:G280 H262 H265 H268 H271 H274:H277 H280 G283:G303 H284:H285 H288 H291 H294 H297:H300 H303 G306:G326 H307:H308 H311 H314 H316:H317 H319:H323 H326 G329:G349 H330:H331 H334 H337 H339:H340 H342:H346 H349">
    <cfRule type="expression" dxfId="26" priority="17">
      <formula>$L$25&gt;0</formula>
    </cfRule>
  </conditionalFormatting>
  <conditionalFormatting sqref="G7:G27 H9 H12 H15 H18 H21 H24 H27 G30:G50 H32 H35 H38 H41 H44 H47 H50 G53:G73 H55 H58 H61 H64 H67:H70 H73 G76:G96 H78 H81 H84 H87 H90:H93 H96 G99:G119 H101 H104 H107 H110 H113:H116 H119 G122:G142 H124 H127 H130 H133 H136:H139 H142 G145:G165 H147 H150 H153 H156 H159:H162 H165 G168:G188 H170 H173 H176 H179 H182:H185 H188 G191:G211 H193 H196 H199 H202 H205:H208 H211 G214:G234 H216 H219 H222 H225 H228:H231 H234 G237:G257 H239 H242 H245 H248 H251:H254 H257 G260:G280 H262 H265 H268 H271 H274:H277 H280 G283:G303 H285 H288 H291 H294 H297:H300 H303 G306:G326 H308 H311 H314 H317 H320:H323 H326 G329:G349 H331 H334 H337 H340 H343:H346 H349">
    <cfRule type="expression" dxfId="25" priority="16">
      <formula>$L$14&gt;0</formula>
    </cfRule>
  </conditionalFormatting>
  <conditionalFormatting sqref="G9 G12 G15 G18 G21 G24 G27 G32 G35 G38 G41 G44 G47 G50 G55 G58 G61 G64 G67:G70 G73 G78 G80:G81 G84 G87 G90:G93 G96 G101 G103:G104 G107 G110 G113:G116 G119 G124 G126:G127 G130 G133 G136:G139 G142 G147 G149:G150 G153 G156 G159:G162 G165 G170 G172:G173 G176 G179 G182:G185 G188 G193 G195:G196 G199 G202 G205:G208 G211 G216 G218:G219 G222 G225 G228:G231 G234 G239 G241:G242 G245 G248 G251:G254 G257 G262 G264:G265 G268 G271 G274:G277 G280 G285 G287:G288 G291 G294 G297:G300 G303 G308 G310:G311 G314 G317 G320:G323 G326 G331 G333:G334 G337 G340 G343:G346 G349">
    <cfRule type="expression" dxfId="24" priority="22">
      <formula>$L$28&gt;0</formula>
    </cfRule>
  </conditionalFormatting>
  <conditionalFormatting sqref="G10:G18 G21 G24 G27 G33:G41 G44 G47 G50 G56:G64 G67:G70 G73 G79:G87 G90:G93 G96 G102:G110 G113:G116 G119 G125:G133 G136:G139 G142 G148:G162 G165 G171:G185 G188 G194:G208 G211 G214:G215 G217:G231 G234 G237:G238 G240:G254 G257 G260:G261 G263:G277 G280 G283:G284 G286:G300 G303 G306:G307 G309:G323 G326 G329:G330 G332:G346 G349">
    <cfRule type="expression" dxfId="23" priority="19">
      <formula>$L$27&gt;0</formula>
    </cfRule>
  </conditionalFormatting>
  <conditionalFormatting sqref="G11 G17 G34 G40 G57 G63 G79:G80 G86 G102:G103 G109 G125:G126 G132 G148:G149 G155 G158 G171:G172 G178 G181 G194:G195 G201 G204 G215 G217:G218 G224 G227 G238 G240:G241 G247 G250 G261 G263:G264 G270 G273 G284 G286:G287 G293 G296 G307 G309:G310 G316 G319 G330 G332:G343">
    <cfRule type="expression" dxfId="22" priority="20">
      <formula>#REF!&gt;0</formula>
    </cfRule>
  </conditionalFormatting>
  <conditionalFormatting sqref="G13 G19 G22 G36 G42:G45 G59 G65:G68 G81:G82 G88:G91 G104:G105 G111:G114 G127:G128 G134:G137 G150:G151 G157:G160 G173:G174 G180:G183 G196:G197 G203:G206 G219:G220 G226:G229 G240:G246 G249:G252 G263:G269 G272:G275 G286:G292 G295:G298 G309:G315 G318:G321 G332:G344">
    <cfRule type="expression" dxfId="21" priority="23">
      <formula>$L$29&gt;0</formula>
    </cfRule>
  </conditionalFormatting>
  <conditionalFormatting sqref="G14 G20 G23 G37 G43 G46 G60 G66 G69 G82:G83 G89 G92 G105:G106 G112 G115 G128:G129 G135 G138 G151:G152 G158 G161 G174:G175 G181 G184 G197:G198 G204 G207 G220:G221 G227 G230 G243:G244 G247 G250 G253 G266:G267 G270 G273 G276 G289:G290 G293 G296 G299 G312:G313 G316 G319 G322 G335:G336 G339 G342 G345">
    <cfRule type="expression" dxfId="20" priority="24">
      <formula>$L$30&gt;0</formula>
    </cfRule>
  </conditionalFormatting>
  <conditionalFormatting sqref="G15:G25 G27 G38:G48 G50 G61:G71 G73 G83:G94 G96 G101 G106:G117 G119 G124 G129:G140 G142 G147 G152:G163 G165 G170 G175:G186 G188 G193 G198:G209 G211 G216 G221:G232 G234 G239 G244:G255 G257 G262 G267:G278 G280 G285 G290:G301 G303 G308 G313:G324 G326 G331 G336:G347 G349">
    <cfRule type="expression" dxfId="19" priority="25">
      <formula>$L$31&gt;0</formula>
    </cfRule>
  </conditionalFormatting>
  <conditionalFormatting sqref="G22:G26 G45:G49 G68:G72 G84:G95 G101 G107:G118 G124 G130:G141 G147 G153:G164 G170 G176:G187 G193 G199:G210 G216 G222:G233 G239 G245:G256 G262 G268:G279 G285 G291:G302 G308 G314:G325 G331 G337:G348">
    <cfRule type="expression" dxfId="18" priority="26">
      <formula>$L$32&gt;0</formula>
    </cfRule>
  </conditionalFormatting>
  <conditionalFormatting sqref="G26:G27 G49:G50 G72:G73 G85:G96 G108:G119 G131:G142 G154:G165 G177:G188 G200:G211 G223:G234 G246:G257 G269:G280 G292:G303 G315:G326 G338:G349">
    <cfRule type="expression" dxfId="17" priority="27">
      <formula>$L$39&gt;0</formula>
    </cfRule>
  </conditionalFormatting>
  <conditionalFormatting sqref="G27 G50 G73 G95:G96 G118:G119 G141:G142 G164:G165 G187:G188 G210:G211 G233:G234 G254 G256:G257 G277 G279:G280 G300 G302:G303 G323 G325:G326 G346 G348:G349">
    <cfRule type="expression" dxfId="16" priority="28">
      <formula>$L$40&gt;0</formula>
    </cfRule>
  </conditionalFormatting>
  <conditionalFormatting sqref="G283:G303 G305:H326 G328:H349 H7:H27 H29:H50 H52:H73 H75:H96 H98:H119 H121:H142 H144:H165 H167:H188 H190:H211 H213:H234 H236:H257 H259:H280 H282:H303">
    <cfRule type="cellIs" dxfId="15" priority="29" operator="greaterThan">
      <formula>0</formula>
    </cfRule>
  </conditionalFormatting>
  <conditionalFormatting sqref="G9:H9 G12:H12 G15:H15 G18:H18 G21:H21 G24:H24 G27:H27 G32:H32 G35:H35 G38:H38 G41:H41 G44:H44 G47:H47 G50:H50 G54:G55 H55 G58:H58 G61:H61 G64:H64 G67:H70 G73:H73 G77:G78 H78 G81:H81 G84:H84 G87:H87 G90:H93 G96:H96 G100:G101 H101 G104:H104 G107:H107 G110:H110 G113:H116 G119:H119 G123:G124 H124 G127:H127 G130:H130 G133:H133 G136:H139 G142:H142 G146:G147 H147 G150:H150 G153:H153 G156:H156 G159:H162 G165:H165 G169:G170 H170 G173:H173 G176:H176 G179:H179 G182:H185 G188:H188 G192:G193 H193 G196:H196 G199:H199 G202:H202 G205:H208 G211:H211 G215:G216 H216 G219:H219 G222:H222 G225:H225 G228:H231 G234:H234 G238:G239 H239 G242:H242 G245:H245 G248:H248 G251:H254 G257:H257 G261:G262 H262 G265:H265 G268:H268 G271:H271 G274:H277 G280:H280 G284:G285 H285 G288:H288 G291:H291 G294:H294 G297:H300 G303:H303 G307:G308 H308 G311:H311 G314:H314 G317:H317 G320:H323 G326:H326 G330:G331 H331 G334:H334 G337:H337 G340:H340 G343:H346 G349:H349">
    <cfRule type="expression" dxfId="14" priority="18">
      <formula>$L$26&gt;0</formula>
    </cfRule>
  </conditionalFormatting>
  <conditionalFormatting sqref="I7:I27 K7:K27 O7:O27 Q7:Q27 I30:I50 K30:K50 O30:O50 Q30:Q50 I53:I73 K53:K73 O53:O73 Q53:Q73 I76:I96 K76:K96 O76:O96 Q76:Q96 I99:I119 K99:K119 O99:O119 Q99:Q119 I122:I142 K122:K142 O122:O142 Q122:Q142 I145:I165 K145:K165 O145:O165 Q145:Q165 I168:I188 K168:K188 O168:O188 Q168:Q188 I191:I211 K191:K211 O191:O211 Q191:Q211 I214:I234 K214:K234 O214:O234 Q214:Q234 I237:I257 K237:K257 O237:O257 Q237:Q257 I260:I280 K260:K280 O260:O280 Q260:Q280 I283:I303 K283:K303 O283:O303 Q283:Q303 I306:I326 K306:K326 O306:O326 Q306:Q326 I329:I349 K329:K349 O329:O349 Q329:Q349">
    <cfRule type="cellIs" dxfId="13" priority="6" operator="greaterThan">
      <formula>0</formula>
    </cfRule>
  </conditionalFormatting>
  <conditionalFormatting sqref="I7:I27 K7:K27 O7:Q27 I30:I50 K30:K50 O30:Q50 I53:I73 K53:K73 O53:Q73 I76:I96 K76:K96 O76:Q96 I99:I119 K99:K119 O99:Q119 I122:I142 K122:K142 O122:Q142 I145:I165 K145:K165 O145:Q165 I168:I188 K168:K188 O168:Q188 I191:I211 K191:K211 O191:Q211 I214:I234 K214:K234 O214:Q234 I237:I257 K237:K257 O237:Q257 I260:I280 K260:K280 O260:Q280 I283:I303 K283:K303 O283:Q303 I306:I326 K306:K326 O306:Q326 I329:I349 K329:K349 O329:Q349">
    <cfRule type="expression" dxfId="12" priority="4">
      <formula>$M$14&gt;0</formula>
    </cfRule>
  </conditionalFormatting>
  <conditionalFormatting sqref="M7:M27 M30:M50 M53:M73 M76:M96 M99:M119 M122:M142 M145:M165 M168:M188 M191:M211 M214:M234 M237:M257 M260:M280 M283:M303 M306:M326 M329:M349">
    <cfRule type="cellIs" dxfId="11" priority="1" operator="greaterThan">
      <formula>0</formula>
    </cfRule>
  </conditionalFormatting>
  <conditionalFormatting sqref="N7:N27 N30:N50 N53:N73 N76:N96 N99:N119 N122:N142 N145:N165 N168:N188 N191:N211 N214:N234 N237:N257 N260:N280 N283:N303 N306:N326 N329:N349">
    <cfRule type="expression" dxfId="10" priority="3">
      <formula>$M$14&gt;0</formula>
    </cfRule>
  </conditionalFormatting>
  <conditionalFormatting sqref="P8:P9 P11:P12 P14:P27 P31:P32 P34:P35 P37:P50 P53:P55 P57:P58 P60:P73 P76:P78 P80:P81 P83:P96 P99:P101 P103:P104 P106:P119 P122:P124 P126:P127 P129:P142 P145:P147 P149:P150 P152:P165 P168:P170 P172:P173 P175:P188 P191:P193 P195:P196 P198:P211 P214:P216 P218:P219 P221:P234 P237:P239 P241:P242 P244:P257 P260:P262 P264:P265 P267:P280 P283:P285 P287:P288 P290:P303 P306:P308 P310:P311 P313:P326 P329:P331 P333:P334 P336:P349">
    <cfRule type="expression" dxfId="9" priority="5">
      <formula>$M$27&gt;0</formula>
    </cfRule>
  </conditionalFormatting>
  <dataValidations count="1">
    <dataValidation type="list" allowBlank="1" sqref="B3" xr:uid="{00000000-0002-0000-0E00-000000000000}">
      <formula1>"Selecione,Executar"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1001"/>
  <sheetViews>
    <sheetView workbookViewId="0"/>
  </sheetViews>
  <sheetFormatPr defaultColWidth="14.453125" defaultRowHeight="15" customHeight="1"/>
  <cols>
    <col min="1" max="1" width="9.81640625" customWidth="1"/>
    <col min="2" max="2" width="17.453125" customWidth="1"/>
    <col min="3" max="3" width="52.7265625" customWidth="1"/>
    <col min="4" max="5" width="14.453125" customWidth="1"/>
    <col min="6" max="6" width="7.54296875" customWidth="1"/>
    <col min="7" max="7" width="10.453125" customWidth="1"/>
    <col min="8" max="8" width="22.08984375" customWidth="1"/>
  </cols>
  <sheetData>
    <row r="1" spans="1:26" ht="17.5">
      <c r="A1" s="1252"/>
      <c r="B1" s="1252"/>
      <c r="C1" s="1252"/>
      <c r="D1" s="1252"/>
      <c r="E1" s="1252"/>
      <c r="F1" s="1252"/>
      <c r="G1" s="125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5">
      <c r="A2" s="1740" t="s">
        <v>1161</v>
      </c>
      <c r="B2" s="1477"/>
      <c r="C2" s="1477"/>
      <c r="D2" s="1477"/>
      <c r="E2" s="1477"/>
      <c r="F2" s="1477"/>
      <c r="G2" s="1478"/>
    </row>
    <row r="3" spans="1:26" ht="17.5">
      <c r="A3" s="1253"/>
      <c r="B3" s="1254"/>
      <c r="C3" s="1741" t="s">
        <v>1162</v>
      </c>
      <c r="D3" s="1742"/>
      <c r="E3" s="1742"/>
      <c r="F3" s="1742"/>
      <c r="G3" s="1743"/>
      <c r="H3" s="1255"/>
    </row>
    <row r="4" spans="1:26" ht="29">
      <c r="A4" s="1256" t="s">
        <v>1163</v>
      </c>
      <c r="B4" s="1257" t="s">
        <v>1164</v>
      </c>
      <c r="C4" s="1257" t="s">
        <v>1165</v>
      </c>
      <c r="D4" s="1257" t="s">
        <v>1166</v>
      </c>
      <c r="E4" s="1257" t="s">
        <v>1167</v>
      </c>
      <c r="F4" s="1744" t="s">
        <v>293</v>
      </c>
      <c r="G4" s="1743"/>
      <c r="H4" s="1258" t="s">
        <v>1168</v>
      </c>
    </row>
    <row r="5" spans="1:26" ht="15.5">
      <c r="A5" s="1259"/>
      <c r="B5" s="1260"/>
      <c r="C5" s="1259"/>
      <c r="D5" s="1261"/>
      <c r="E5" s="1262"/>
      <c r="F5" s="1263"/>
      <c r="G5" s="1263"/>
      <c r="H5" s="1264"/>
    </row>
    <row r="6" spans="1:26" ht="14.5">
      <c r="A6" s="1265"/>
      <c r="B6" s="1266"/>
      <c r="C6" s="1267"/>
      <c r="D6" s="1268"/>
      <c r="E6" s="1269"/>
      <c r="F6" s="1268"/>
      <c r="G6" s="1268"/>
      <c r="H6" s="1268"/>
    </row>
    <row r="7" spans="1:26" ht="15.5">
      <c r="A7" s="1270"/>
      <c r="B7" s="1266"/>
      <c r="C7" s="1271"/>
      <c r="D7" s="1264"/>
      <c r="E7" s="1272"/>
      <c r="F7" s="1263"/>
      <c r="G7" s="1263"/>
      <c r="H7" s="1264"/>
    </row>
    <row r="8" spans="1:26" ht="14.5">
      <c r="A8" s="1265"/>
      <c r="B8" s="1266"/>
      <c r="C8" s="1267"/>
      <c r="D8" s="1268"/>
      <c r="E8" s="1269"/>
      <c r="F8" s="1268"/>
      <c r="G8" s="1268"/>
      <c r="H8" s="1268"/>
    </row>
    <row r="9" spans="1:26" ht="15.5">
      <c r="A9" s="1270"/>
      <c r="B9" s="1266"/>
      <c r="C9" s="1271"/>
      <c r="D9" s="1264"/>
      <c r="E9" s="1272"/>
      <c r="F9" s="1263"/>
      <c r="G9" s="1263"/>
      <c r="H9" s="1264"/>
    </row>
    <row r="10" spans="1:26" ht="14.5">
      <c r="A10" s="1265"/>
      <c r="B10" s="1266"/>
      <c r="C10" s="1267"/>
      <c r="D10" s="1268"/>
      <c r="E10" s="1269"/>
      <c r="F10" s="1268"/>
      <c r="G10" s="1268"/>
      <c r="H10" s="1268"/>
    </row>
    <row r="11" spans="1:26" ht="15.5">
      <c r="A11" s="1270"/>
      <c r="B11" s="1266"/>
      <c r="C11" s="1271"/>
      <c r="D11" s="1264"/>
      <c r="E11" s="1272"/>
      <c r="F11" s="1263"/>
      <c r="G11" s="1263"/>
      <c r="H11" s="1264"/>
    </row>
    <row r="12" spans="1:26" ht="14.5">
      <c r="A12" s="1265"/>
      <c r="B12" s="1266"/>
      <c r="C12" s="1267"/>
      <c r="D12" s="1268"/>
      <c r="E12" s="1269"/>
      <c r="F12" s="1268"/>
      <c r="G12" s="1268"/>
      <c r="H12" s="1268"/>
    </row>
    <row r="13" spans="1:26" ht="15.5">
      <c r="A13" s="1270"/>
      <c r="B13" s="1266"/>
      <c r="C13" s="1271"/>
      <c r="D13" s="1264"/>
      <c r="E13" s="1272"/>
      <c r="F13" s="1263"/>
      <c r="G13" s="1263"/>
      <c r="H13" s="1264"/>
    </row>
    <row r="14" spans="1:26" ht="14.5">
      <c r="A14" s="1265"/>
      <c r="B14" s="1266"/>
      <c r="C14" s="1267"/>
      <c r="D14" s="1268"/>
      <c r="E14" s="1269"/>
      <c r="F14" s="1268"/>
      <c r="G14" s="1268"/>
      <c r="H14" s="1268"/>
    </row>
    <row r="15" spans="1:26" ht="15.5">
      <c r="A15" s="1270"/>
      <c r="B15" s="1266"/>
      <c r="C15" s="1271"/>
      <c r="D15" s="1264"/>
      <c r="E15" s="1272"/>
      <c r="F15" s="1263"/>
      <c r="G15" s="1263"/>
      <c r="H15" s="1273"/>
    </row>
    <row r="16" spans="1:26" ht="14.5">
      <c r="A16" s="1265"/>
      <c r="B16" s="1266"/>
      <c r="C16" s="1267"/>
      <c r="D16" s="1268"/>
      <c r="E16" s="1269"/>
      <c r="F16" s="1268"/>
      <c r="G16" s="1268"/>
      <c r="H16" s="1274"/>
    </row>
    <row r="17" spans="1:8" ht="15.5">
      <c r="A17" s="1270"/>
      <c r="B17" s="1266" t="str">
        <f t="shared" ref="B17:B19" si="0">LEFT(C17,20)</f>
        <v/>
      </c>
      <c r="C17" s="1271"/>
      <c r="D17" s="1264"/>
      <c r="E17" s="1272"/>
      <c r="F17" s="1263"/>
      <c r="G17" s="1263"/>
      <c r="H17" s="1264">
        <v>0</v>
      </c>
    </row>
    <row r="18" spans="1:8" ht="14.5">
      <c r="A18" s="1265"/>
      <c r="B18" s="1266" t="str">
        <f t="shared" si="0"/>
        <v/>
      </c>
      <c r="C18" s="1267"/>
      <c r="D18" s="1268"/>
      <c r="E18" s="1269"/>
      <c r="F18" s="1268"/>
      <c r="G18" s="1268"/>
      <c r="H18" s="1268">
        <v>0</v>
      </c>
    </row>
    <row r="19" spans="1:8" ht="15.5">
      <c r="A19" s="1270"/>
      <c r="B19" s="1266" t="str">
        <f t="shared" si="0"/>
        <v/>
      </c>
      <c r="C19" s="1271"/>
      <c r="D19" s="1264"/>
      <c r="E19" s="1275"/>
      <c r="F19" s="1263"/>
      <c r="G19" s="1263"/>
      <c r="H19" s="1264">
        <v>0</v>
      </c>
    </row>
    <row r="20" spans="1:8" ht="15.75" customHeight="1"/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2:G2"/>
    <mergeCell ref="C3:G3"/>
    <mergeCell ref="F4:G4"/>
  </mergeCells>
  <pageMargins left="0.511811024" right="0.511811024" top="0.78740157499999996" bottom="0.78740157499999996" header="0" footer="0"/>
  <pageSetup orientation="landscape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3FB25"/>
  </sheetPr>
  <dimension ref="A1:M1000"/>
  <sheetViews>
    <sheetView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11.26953125" customWidth="1"/>
    <col min="4" max="4" width="13.26953125" customWidth="1"/>
    <col min="5" max="5" width="14.453125" customWidth="1"/>
    <col min="6" max="6" width="21.453125" customWidth="1"/>
    <col min="7" max="7" width="14.81640625" customWidth="1"/>
    <col min="8" max="8" width="14.453125" customWidth="1"/>
    <col min="9" max="9" width="26" customWidth="1"/>
    <col min="10" max="10" width="28.26953125" customWidth="1"/>
    <col min="11" max="11" width="1.453125" customWidth="1"/>
  </cols>
  <sheetData>
    <row r="1" spans="1:11" ht="11.25" customHeight="1">
      <c r="A1" s="1031"/>
      <c r="B1" s="1032" t="s">
        <v>308</v>
      </c>
      <c r="C1" s="1033"/>
      <c r="D1" s="1033"/>
      <c r="E1" s="1033"/>
      <c r="F1" s="1033"/>
      <c r="G1" s="1033"/>
      <c r="H1" s="1033"/>
      <c r="I1" s="1033"/>
      <c r="J1" s="1033"/>
      <c r="K1" s="1031"/>
    </row>
    <row r="2" spans="1:11" ht="18.75" customHeight="1">
      <c r="A2" s="1031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</row>
    <row r="3" spans="1:11" ht="23.25" customHeight="1">
      <c r="A3" s="1031"/>
      <c r="B3" s="1737" t="str">
        <f>'1-ABA-DE-CARREGAMENTO'!J33</f>
        <v>NAO TEM MAIS POSTO 55</v>
      </c>
      <c r="C3" s="1575"/>
      <c r="D3" s="1575"/>
      <c r="E3" s="1575"/>
      <c r="F3" s="1575"/>
      <c r="G3" s="1575"/>
      <c r="H3" s="1575"/>
      <c r="I3" s="1575"/>
      <c r="J3" s="1608"/>
      <c r="K3" s="720"/>
    </row>
    <row r="4" spans="1:11" ht="11.25" customHeight="1">
      <c r="A4" s="1031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</row>
    <row r="5" spans="1:11" ht="11.25" customHeight="1">
      <c r="A5" s="1031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</row>
    <row r="6" spans="1:11" ht="11.25" customHeight="1">
      <c r="A6" s="1031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</row>
    <row r="7" spans="1:11" ht="15.75" customHeight="1">
      <c r="A7" s="1031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</row>
    <row r="8" spans="1:11" ht="15.75" customHeight="1">
      <c r="A8" s="1031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</row>
    <row r="9" spans="1:11" ht="15.75" customHeight="1">
      <c r="A9" s="1031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</row>
    <row r="10" spans="1:11" ht="15.75" customHeight="1">
      <c r="A10" s="1031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'1-ABA-DE-CARREGAMENTO'!J35</f>
        <v>RS004627/2024</v>
      </c>
      <c r="J10" s="1478"/>
      <c r="K10" s="721"/>
    </row>
    <row r="11" spans="1:11" ht="15.75" customHeight="1">
      <c r="A11" s="1031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'1-ABA-DE-CARREGAMENTO'!J94</f>
        <v>30</v>
      </c>
      <c r="J11" s="1478"/>
      <c r="K11" s="721"/>
    </row>
    <row r="12" spans="1:11" ht="15.75" customHeight="1">
      <c r="A12" s="1031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</row>
    <row r="13" spans="1:11" ht="15.75" customHeight="1">
      <c r="A13" s="1031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</row>
    <row r="14" spans="1:11" ht="15.75" hidden="1" customHeight="1" outlineLevel="1">
      <c r="A14" s="1031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</row>
    <row r="15" spans="1:11" ht="15.75" hidden="1" customHeight="1" outlineLevel="1">
      <c r="A15" s="1031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</row>
    <row r="16" spans="1:11" ht="15.75" hidden="1" customHeight="1" outlineLevel="1">
      <c r="A16" s="1031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</row>
    <row r="17" spans="1:11" ht="15.75" customHeight="1" collapsed="1">
      <c r="A17" s="1031"/>
      <c r="B17" s="1611" t="str">
        <f>B3</f>
        <v>NAO TEM MAIS POSTO 55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'1-ABA-DE-CARREGAMENTO'!J92</f>
        <v>0</v>
      </c>
      <c r="J17" s="1478"/>
      <c r="K17" s="728"/>
    </row>
    <row r="18" spans="1:11" ht="15.75" hidden="1" customHeight="1" outlineLevel="1">
      <c r="A18" s="1031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</row>
    <row r="19" spans="1:11" ht="15.75" hidden="1" customHeight="1" outlineLevel="1">
      <c r="A19" s="1031"/>
      <c r="B19" s="1611" t="s">
        <v>1169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</row>
    <row r="20" spans="1:11" ht="15.75" customHeight="1" collapsed="1">
      <c r="A20" s="1031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0</v>
      </c>
      <c r="J20" s="1478"/>
      <c r="K20" s="729"/>
    </row>
    <row r="21" spans="1:11" ht="15.75" customHeight="1">
      <c r="A21" s="1031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</row>
    <row r="22" spans="1:11" ht="26.25" customHeight="1">
      <c r="A22" s="1031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</row>
    <row r="23" spans="1:11" ht="15.75" customHeight="1">
      <c r="A23" s="1031"/>
      <c r="B23" s="1618"/>
      <c r="C23" s="1477"/>
      <c r="D23" s="1477"/>
      <c r="E23" s="1477"/>
      <c r="F23" s="1477"/>
      <c r="G23" s="1477"/>
      <c r="H23" s="1477"/>
      <c r="I23" s="1477"/>
      <c r="J23" s="1478"/>
      <c r="K23" s="459"/>
    </row>
    <row r="24" spans="1:11" ht="15.75" customHeight="1">
      <c r="A24" s="1031"/>
      <c r="B24" s="1726" t="s">
        <v>1170</v>
      </c>
      <c r="C24" s="1477"/>
      <c r="D24" s="1477"/>
      <c r="E24" s="1477"/>
      <c r="F24" s="1477"/>
      <c r="G24" s="1477"/>
      <c r="H24" s="1477"/>
      <c r="I24" s="1477"/>
      <c r="J24" s="1478"/>
      <c r="K24" s="1034"/>
    </row>
    <row r="25" spans="1:11" ht="15.75" customHeight="1">
      <c r="A25" s="1031"/>
      <c r="B25" s="1727"/>
      <c r="C25" s="1477"/>
      <c r="D25" s="1477"/>
      <c r="E25" s="1477"/>
      <c r="F25" s="1477"/>
      <c r="G25" s="1477"/>
      <c r="H25" s="1477"/>
      <c r="I25" s="1477"/>
      <c r="J25" s="1478"/>
      <c r="K25" s="1035"/>
    </row>
    <row r="26" spans="1:11" ht="15.7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</row>
    <row r="27" spans="1:11" ht="15.75" customHeight="1">
      <c r="A27" s="1031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'1-ABA-DE-CARREGAMENTO'!J33</f>
        <v>NAO TEM MAIS POSTO 55</v>
      </c>
      <c r="J27" s="1478"/>
      <c r="K27" s="732"/>
    </row>
    <row r="28" spans="1:11" ht="15.75" customHeight="1">
      <c r="A28" s="1031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752">
        <v>807308</v>
      </c>
      <c r="J28" s="1478"/>
      <c r="K28" s="734"/>
    </row>
    <row r="29" spans="1:11" ht="30" customHeight="1">
      <c r="A29" s="1031"/>
      <c r="B29" s="696">
        <v>3</v>
      </c>
      <c r="C29" s="1625" t="s">
        <v>336</v>
      </c>
      <c r="D29" s="1468"/>
      <c r="E29" s="1036">
        <v>220</v>
      </c>
      <c r="F29" s="737">
        <f>'1-ABA-DE-CARREGAMENTO'!J37</f>
        <v>1854.91</v>
      </c>
      <c r="G29" s="722" t="s">
        <v>1171</v>
      </c>
      <c r="H29" s="1276">
        <f>'1-ABA-DE-CARREGAMENTO'!J52</f>
        <v>100</v>
      </c>
      <c r="I29" s="1626">
        <f>F29/E29*H29</f>
        <v>843.14090909090908</v>
      </c>
      <c r="J29" s="1478"/>
      <c r="K29" s="1037"/>
    </row>
    <row r="30" spans="1:11" ht="11.25" customHeight="1">
      <c r="A30" s="1031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</row>
    <row r="31" spans="1:11" ht="11.25" customHeight="1">
      <c r="A31" s="1031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'1-ABA-DE-CARREGAMENTO'!J36</f>
        <v>01 de JUNHO</v>
      </c>
      <c r="J31" s="1478"/>
      <c r="K31" s="742"/>
    </row>
    <row r="32" spans="1:11" ht="12.75" customHeight="1">
      <c r="A32" s="1031"/>
      <c r="B32" s="1038">
        <v>6</v>
      </c>
      <c r="C32" s="1560" t="s">
        <v>1172</v>
      </c>
      <c r="D32" s="1477"/>
      <c r="E32" s="1477"/>
      <c r="F32" s="1477"/>
      <c r="G32" s="1477"/>
      <c r="H32" s="1478"/>
      <c r="I32" s="1630">
        <f>ROUND(I29/100,2)</f>
        <v>8.43</v>
      </c>
      <c r="J32" s="1478"/>
      <c r="K32" s="744"/>
    </row>
    <row r="33" spans="1:11" ht="26.25" customHeight="1">
      <c r="A33" s="1031"/>
      <c r="B33" s="1038">
        <v>7</v>
      </c>
      <c r="C33" s="1560" t="s">
        <v>1173</v>
      </c>
      <c r="D33" s="1477"/>
      <c r="E33" s="1477"/>
      <c r="F33" s="1478"/>
      <c r="G33" s="1631"/>
      <c r="H33" s="1478"/>
      <c r="I33" s="1630">
        <f>SUM(J47:J50)/220</f>
        <v>3.8324586776859504</v>
      </c>
      <c r="J33" s="1478"/>
      <c r="K33" s="744"/>
    </row>
    <row r="34" spans="1:11" ht="26.25" customHeight="1">
      <c r="A34" s="1031"/>
      <c r="B34" s="1038">
        <v>8</v>
      </c>
      <c r="C34" s="1560" t="s">
        <v>1174</v>
      </c>
      <c r="D34" s="1477"/>
      <c r="E34" s="1477"/>
      <c r="F34" s="1478"/>
      <c r="G34" s="1631"/>
      <c r="H34" s="1478"/>
      <c r="I34" s="1630">
        <f>TRUNC(I33*1.5,2)*0</f>
        <v>0</v>
      </c>
      <c r="J34" s="1478"/>
      <c r="K34" s="744"/>
    </row>
    <row r="35" spans="1:11" ht="26.25" customHeight="1">
      <c r="A35" s="1031"/>
      <c r="B35" s="1038">
        <v>9</v>
      </c>
      <c r="C35" s="1560" t="s">
        <v>1175</v>
      </c>
      <c r="D35" s="1477"/>
      <c r="E35" s="1477"/>
      <c r="F35" s="1478"/>
      <c r="G35" s="1631" t="s">
        <v>344</v>
      </c>
      <c r="H35" s="1478"/>
      <c r="I35" s="1753">
        <f>I33*1.5</f>
        <v>5.7486880165289254</v>
      </c>
      <c r="J35" s="1478"/>
      <c r="K35" s="1039"/>
    </row>
    <row r="36" spans="1:11" ht="26.25" customHeight="1">
      <c r="A36" s="1031"/>
      <c r="B36" s="1038">
        <v>10</v>
      </c>
      <c r="C36" s="1560" t="s">
        <v>1176</v>
      </c>
      <c r="D36" s="1477"/>
      <c r="E36" s="1477"/>
      <c r="F36" s="1477"/>
      <c r="G36" s="1477"/>
      <c r="H36" s="1478"/>
      <c r="I36" s="1630">
        <f>TRUNC(I32*1.2,2)</f>
        <v>10.11</v>
      </c>
      <c r="J36" s="1478"/>
      <c r="K36" s="744"/>
    </row>
    <row r="37" spans="1:11" ht="26.25" customHeight="1">
      <c r="A37" s="1031"/>
      <c r="B37" s="1038">
        <v>11</v>
      </c>
      <c r="C37" s="1560" t="s">
        <v>1177</v>
      </c>
      <c r="D37" s="1477"/>
      <c r="E37" s="1477"/>
      <c r="F37" s="1477"/>
      <c r="G37" s="1477"/>
      <c r="H37" s="1478"/>
      <c r="I37" s="1630">
        <f>I33*2</f>
        <v>7.6649173553719008</v>
      </c>
      <c r="J37" s="1478"/>
      <c r="K37" s="744"/>
    </row>
    <row r="38" spans="1:11" ht="14.25" customHeight="1">
      <c r="A38" s="1031"/>
      <c r="B38" s="1038">
        <v>12</v>
      </c>
      <c r="C38" s="1560" t="s">
        <v>1178</v>
      </c>
      <c r="D38" s="1477"/>
      <c r="E38" s="1477"/>
      <c r="F38" s="1477"/>
      <c r="G38" s="1477"/>
      <c r="H38" s="1478"/>
      <c r="I38" s="1630">
        <f>I29*'1-ABA-DE-CARREGAMENTO'!D44</f>
        <v>0</v>
      </c>
      <c r="J38" s="1478"/>
      <c r="K38" s="744"/>
    </row>
    <row r="39" spans="1:11" ht="14.25" customHeight="1">
      <c r="A39" s="1031"/>
      <c r="B39" s="1038">
        <v>13</v>
      </c>
      <c r="C39" s="1560" t="s">
        <v>348</v>
      </c>
      <c r="D39" s="1477"/>
      <c r="E39" s="1477"/>
      <c r="F39" s="1477"/>
      <c r="G39" s="1477"/>
      <c r="H39" s="1478"/>
      <c r="I39" s="1630">
        <f>ROUND(I32/6,2)*1.3</f>
        <v>1.833</v>
      </c>
      <c r="J39" s="1478"/>
      <c r="K39" s="744"/>
    </row>
    <row r="40" spans="1:11" ht="30" customHeight="1">
      <c r="A40" s="1031"/>
      <c r="B40" s="746">
        <v>14</v>
      </c>
      <c r="C40" s="1646" t="s">
        <v>349</v>
      </c>
      <c r="D40" s="1647"/>
      <c r="E40" s="1647"/>
      <c r="F40" s="1647"/>
      <c r="G40" s="1647"/>
      <c r="H40" s="1648"/>
      <c r="I40" s="1649">
        <f>'1-ABA-DE-CARREGAMENTO'!J93</f>
        <v>1</v>
      </c>
      <c r="J40" s="1650"/>
      <c r="K40" s="1040"/>
    </row>
    <row r="41" spans="1:11" ht="27" customHeight="1">
      <c r="A41" s="1031"/>
      <c r="B41" s="1038">
        <v>15</v>
      </c>
      <c r="C41" s="1651" t="s">
        <v>350</v>
      </c>
      <c r="D41" s="1575"/>
      <c r="E41" s="1575"/>
      <c r="F41" s="1575"/>
      <c r="G41" s="1575"/>
      <c r="H41" s="1608"/>
      <c r="I41" s="1714">
        <f>'1-ABA-DE-CARREGAMENTO'!E42</f>
        <v>1621</v>
      </c>
      <c r="J41" s="1478"/>
      <c r="K41" s="749"/>
    </row>
    <row r="42" spans="1:11" ht="11.25" customHeight="1">
      <c r="A42" s="1031"/>
      <c r="B42" s="1618"/>
      <c r="C42" s="1477"/>
      <c r="D42" s="1477"/>
      <c r="E42" s="1477"/>
      <c r="F42" s="1477"/>
      <c r="G42" s="1477"/>
      <c r="H42" s="1477"/>
      <c r="I42" s="1477"/>
      <c r="J42" s="1478"/>
      <c r="K42" s="459"/>
    </row>
    <row r="43" spans="1:11" ht="24" customHeight="1">
      <c r="A43" s="1031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</row>
    <row r="44" spans="1:11" ht="14.25" customHeight="1">
      <c r="A44" s="1031"/>
      <c r="B44" s="1728"/>
      <c r="C44" s="1477"/>
      <c r="D44" s="1477"/>
      <c r="E44" s="1477"/>
      <c r="F44" s="1477"/>
      <c r="G44" s="1477"/>
      <c r="H44" s="1477"/>
      <c r="I44" s="1477"/>
      <c r="J44" s="1478"/>
      <c r="K44" s="1041"/>
    </row>
    <row r="45" spans="1:11" ht="21" customHeight="1">
      <c r="A45" s="1031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</row>
    <row r="46" spans="1:11" ht="19.5" customHeight="1">
      <c r="A46" s="104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753" t="s">
        <v>355</v>
      </c>
      <c r="K46" s="727"/>
    </row>
    <row r="47" spans="1:11" ht="12.75" customHeight="1">
      <c r="A47" s="1031"/>
      <c r="B47" s="696" t="s">
        <v>312</v>
      </c>
      <c r="C47" s="1577" t="s">
        <v>1041</v>
      </c>
      <c r="D47" s="1477"/>
      <c r="E47" s="1477"/>
      <c r="F47" s="1478"/>
      <c r="G47" s="755" t="s">
        <v>52</v>
      </c>
      <c r="H47" s="756">
        <f>'1-ABA-DE-CARREGAMENTO'!J52</f>
        <v>100</v>
      </c>
      <c r="I47" s="755"/>
      <c r="J47" s="758">
        <f>I29*I40</f>
        <v>843.14090909090908</v>
      </c>
      <c r="K47" s="1043"/>
    </row>
    <row r="48" spans="1:11" ht="16.5" customHeight="1">
      <c r="A48" s="1031"/>
      <c r="B48" s="696" t="s">
        <v>314</v>
      </c>
      <c r="C48" s="1577" t="s">
        <v>1179</v>
      </c>
      <c r="D48" s="1477"/>
      <c r="E48" s="1477"/>
      <c r="F48" s="1654" t="str">
        <f>'1-ABA-DE-CARREGAMENTO'!J38</f>
        <v>SEM ADICIONAL DE FUNÇÃO</v>
      </c>
      <c r="G48" s="1477"/>
      <c r="H48" s="1478"/>
      <c r="I48" s="994">
        <f>'1-ABA-DE-CARREGAMENTO'!J39</f>
        <v>0</v>
      </c>
      <c r="J48" s="758">
        <f>J47*I48</f>
        <v>0</v>
      </c>
      <c r="K48" s="1043"/>
    </row>
    <row r="49" spans="1:13" ht="25.5" customHeight="1">
      <c r="A49" s="1031"/>
      <c r="B49" s="696" t="s">
        <v>316</v>
      </c>
      <c r="C49" s="1577" t="s">
        <v>1180</v>
      </c>
      <c r="D49" s="1477"/>
      <c r="E49" s="1477"/>
      <c r="F49" s="1477"/>
      <c r="G49" s="1477"/>
      <c r="H49" s="1478"/>
      <c r="I49" s="871">
        <f>'1-ABA-DE-CARREGAMENTO'!J44</f>
        <v>0</v>
      </c>
      <c r="J49" s="758">
        <f>ROUND(J47*I49,2)</f>
        <v>0</v>
      </c>
      <c r="K49" s="1043"/>
    </row>
    <row r="50" spans="1:13" ht="18.75" customHeight="1">
      <c r="A50" s="1031"/>
      <c r="B50" s="696" t="s">
        <v>318</v>
      </c>
      <c r="C50" s="1577" t="s">
        <v>695</v>
      </c>
      <c r="D50" s="1477"/>
      <c r="E50" s="1477"/>
      <c r="F50" s="1477"/>
      <c r="G50" s="1654" t="str">
        <f>'1-ABA-DE-CARREGAMENTO'!J40</f>
        <v>SEM ADICIONAL DE RISCO</v>
      </c>
      <c r="H50" s="1478"/>
      <c r="I50" s="1073">
        <f>'1-ABA-DE-CARREGAMENTO'!J41</f>
        <v>0</v>
      </c>
      <c r="J50" s="758">
        <f>ROUND(I50*I41,2)</f>
        <v>0</v>
      </c>
      <c r="K50" s="1043"/>
    </row>
    <row r="51" spans="1:13" ht="45" customHeight="1">
      <c r="A51" s="1031"/>
      <c r="B51" s="696" t="s">
        <v>360</v>
      </c>
      <c r="C51" s="1732" t="s">
        <v>1181</v>
      </c>
      <c r="D51" s="1477"/>
      <c r="E51" s="1477"/>
      <c r="F51" s="1477"/>
      <c r="G51" s="1477"/>
      <c r="H51" s="1477"/>
      <c r="I51" s="1277">
        <f>'1-ABA-DE-CARREGAMENTO'!J43</f>
        <v>0.2</v>
      </c>
      <c r="J51" s="1028">
        <f>ROUND(1.1428*22*I36,2)</f>
        <v>254.18</v>
      </c>
      <c r="K51" s="1074"/>
      <c r="L51" s="2"/>
      <c r="M51" s="2"/>
    </row>
    <row r="52" spans="1:13" ht="42.75" hidden="1" customHeight="1" outlineLevel="1">
      <c r="A52" s="1031"/>
      <c r="B52" s="696" t="s">
        <v>364</v>
      </c>
      <c r="C52" s="1656" t="s">
        <v>1182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1043"/>
    </row>
    <row r="53" spans="1:13" ht="32.25" hidden="1" customHeight="1" outlineLevel="1">
      <c r="A53" s="1031"/>
      <c r="B53" s="696" t="s">
        <v>366</v>
      </c>
      <c r="C53" s="1656" t="s">
        <v>1183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1043"/>
    </row>
    <row r="54" spans="1:13" ht="27.75" hidden="1" customHeight="1" outlineLevel="1">
      <c r="A54" s="1031"/>
      <c r="B54" s="696" t="s">
        <v>368</v>
      </c>
      <c r="C54" s="1656" t="s">
        <v>1184</v>
      </c>
      <c r="D54" s="1477"/>
      <c r="E54" s="1477"/>
      <c r="F54" s="1754" t="s">
        <v>1185</v>
      </c>
      <c r="G54" s="1477"/>
      <c r="H54" s="1477"/>
      <c r="I54" s="1278">
        <v>0</v>
      </c>
      <c r="J54" s="758">
        <f>ROUND((((SUM(J47:J50))/220)*1.5)*I54,2)*0</f>
        <v>0</v>
      </c>
      <c r="K54" s="1043"/>
    </row>
    <row r="55" spans="1:13" ht="27.75" hidden="1" customHeight="1" outlineLevel="1">
      <c r="A55" s="1031"/>
      <c r="B55" s="696" t="s">
        <v>372</v>
      </c>
      <c r="C55" s="1656" t="s">
        <v>1186</v>
      </c>
      <c r="D55" s="1477"/>
      <c r="E55" s="1477"/>
      <c r="F55" s="1754" t="s">
        <v>1187</v>
      </c>
      <c r="G55" s="1477"/>
      <c r="H55" s="1477"/>
      <c r="I55" s="1278">
        <v>0</v>
      </c>
      <c r="J55" s="758">
        <f>ROUND((((SUM(J47:J50))/220)*2)*I55,2)*0</f>
        <v>0</v>
      </c>
      <c r="K55" s="1043"/>
    </row>
    <row r="56" spans="1:13" ht="39.75" hidden="1" customHeight="1" outlineLevel="1">
      <c r="A56" s="1031"/>
      <c r="B56" s="696" t="s">
        <v>376</v>
      </c>
      <c r="C56" s="1577" t="s">
        <v>1188</v>
      </c>
      <c r="D56" s="1477"/>
      <c r="E56" s="1477"/>
      <c r="F56" s="1477"/>
      <c r="G56" s="1477"/>
      <c r="H56" s="1477"/>
      <c r="I56" s="1478"/>
      <c r="J56" s="758">
        <f>J51*0.2*0</f>
        <v>0</v>
      </c>
      <c r="K56" s="1043"/>
    </row>
    <row r="57" spans="1:13" ht="15" customHeight="1" collapsed="1">
      <c r="A57" s="1031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1046"/>
    </row>
    <row r="58" spans="1:13" ht="18" customHeight="1">
      <c r="A58" s="1031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1097.320909090909</v>
      </c>
      <c r="K58" s="1047"/>
    </row>
    <row r="59" spans="1:13" ht="14.25" customHeight="1">
      <c r="A59" s="1031"/>
      <c r="B59" s="773"/>
      <c r="C59" s="1657"/>
      <c r="D59" s="1477"/>
      <c r="E59" s="1477"/>
      <c r="F59" s="1477"/>
      <c r="G59" s="1477"/>
      <c r="H59" s="1477"/>
      <c r="I59" s="1478"/>
      <c r="J59" s="774"/>
      <c r="K59" s="1047"/>
    </row>
    <row r="60" spans="1:13" ht="22.5" customHeight="1">
      <c r="A60" s="1031"/>
      <c r="B60" s="696" t="s">
        <v>368</v>
      </c>
      <c r="C60" s="1732" t="s">
        <v>1189</v>
      </c>
      <c r="D60" s="1477"/>
      <c r="E60" s="1477"/>
      <c r="F60" s="1477"/>
      <c r="G60" s="1477"/>
      <c r="H60" s="1477"/>
      <c r="I60" s="1478"/>
      <c r="J60" s="1028">
        <f>ROUND(I34*15*I40*0.5,2)*0</f>
        <v>0</v>
      </c>
      <c r="K60" s="1074"/>
      <c r="L60" s="2"/>
      <c r="M60" s="2"/>
    </row>
    <row r="61" spans="1:13" ht="30.75" customHeight="1">
      <c r="A61" s="1031"/>
      <c r="B61" s="1572" t="s">
        <v>1190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1047"/>
    </row>
    <row r="62" spans="1:13" ht="11.25" customHeight="1">
      <c r="A62" s="1031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</row>
    <row r="63" spans="1:13" ht="51" customHeight="1">
      <c r="A63" s="1031"/>
      <c r="B63" s="1578" t="s">
        <v>1191</v>
      </c>
      <c r="C63" s="1477"/>
      <c r="D63" s="1477"/>
      <c r="E63" s="1477"/>
      <c r="F63" s="1477"/>
      <c r="G63" s="1477"/>
      <c r="H63" s="1477"/>
      <c r="I63" s="1478"/>
      <c r="J63" s="775">
        <f>J58+J61</f>
        <v>1097.320909090909</v>
      </c>
      <c r="K63" s="776"/>
    </row>
    <row r="64" spans="1:13" ht="11.25" customHeight="1">
      <c r="A64" s="1031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</row>
    <row r="65" spans="1:11" ht="11.25" customHeight="1">
      <c r="A65" s="1031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</row>
    <row r="66" spans="1:11" ht="11.25" customHeight="1">
      <c r="A66" s="1031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</row>
    <row r="67" spans="1:11" ht="21.75" customHeight="1">
      <c r="A67" s="1031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1048"/>
    </row>
    <row r="68" spans="1:11" ht="21.75" customHeight="1">
      <c r="A68" s="1031"/>
      <c r="B68" s="1580" t="s">
        <v>1192</v>
      </c>
      <c r="C68" s="1477"/>
      <c r="D68" s="1477"/>
      <c r="E68" s="1477"/>
      <c r="F68" s="1477"/>
      <c r="G68" s="1477"/>
      <c r="H68" s="1477"/>
      <c r="I68" s="1477"/>
      <c r="J68" s="1478"/>
      <c r="K68" s="931"/>
    </row>
    <row r="69" spans="1:11" ht="21.75" customHeight="1">
      <c r="A69" s="1031"/>
      <c r="B69" s="781" t="s">
        <v>388</v>
      </c>
      <c r="C69" s="1659" t="s">
        <v>1193</v>
      </c>
      <c r="D69" s="1477"/>
      <c r="E69" s="1477"/>
      <c r="F69" s="1477"/>
      <c r="G69" s="1477"/>
      <c r="H69" s="1477"/>
      <c r="I69" s="1478"/>
      <c r="J69" s="782" t="s">
        <v>390</v>
      </c>
      <c r="K69" s="783"/>
    </row>
    <row r="70" spans="1:11" ht="30.75" customHeight="1">
      <c r="A70" s="1031"/>
      <c r="B70" s="781" t="s">
        <v>312</v>
      </c>
      <c r="C70" s="1656" t="s">
        <v>1194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91.41</v>
      </c>
      <c r="K70" s="786"/>
    </row>
    <row r="71" spans="1:11" ht="83.25" customHeight="1">
      <c r="A71" s="1031"/>
      <c r="B71" s="781" t="s">
        <v>314</v>
      </c>
      <c r="C71" s="1582" t="s">
        <v>1195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33.19</v>
      </c>
      <c r="K71" s="786"/>
    </row>
    <row r="72" spans="1:11" ht="11.25" customHeight="1">
      <c r="A72" s="1031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124.6</v>
      </c>
      <c r="K72" s="1049"/>
    </row>
    <row r="73" spans="1:11" ht="11.25" customHeight="1">
      <c r="A73" s="1031"/>
      <c r="B73" s="1661"/>
      <c r="C73" s="1477"/>
      <c r="D73" s="1477"/>
      <c r="E73" s="1477"/>
      <c r="F73" s="1477"/>
      <c r="G73" s="1477"/>
      <c r="H73" s="1477"/>
      <c r="I73" s="1477"/>
      <c r="J73" s="1478"/>
      <c r="K73" s="1050"/>
    </row>
    <row r="74" spans="1:11" ht="15" customHeight="1">
      <c r="A74" s="1031"/>
      <c r="B74" s="1653" t="s">
        <v>1196</v>
      </c>
      <c r="C74" s="1477"/>
      <c r="D74" s="1477"/>
      <c r="E74" s="1477"/>
      <c r="F74" s="1477"/>
      <c r="G74" s="1477"/>
      <c r="H74" s="1477"/>
      <c r="I74" s="1477"/>
      <c r="J74" s="1478"/>
      <c r="K74" s="750"/>
    </row>
    <row r="75" spans="1:11" ht="10.5" customHeight="1">
      <c r="A75" s="1031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</row>
    <row r="76" spans="1:11" ht="14.25" customHeight="1">
      <c r="A76" s="1031"/>
      <c r="B76" s="1663" t="s">
        <v>1197</v>
      </c>
      <c r="C76" s="1477"/>
      <c r="D76" s="1477"/>
      <c r="E76" s="1477"/>
      <c r="F76" s="1477"/>
      <c r="G76" s="1477"/>
      <c r="H76" s="1477"/>
      <c r="I76" s="1477"/>
      <c r="J76" s="1478"/>
      <c r="K76" s="780"/>
    </row>
    <row r="77" spans="1:11" ht="33.75" customHeight="1">
      <c r="A77" s="1031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</row>
    <row r="78" spans="1:11" ht="19.5" customHeight="1">
      <c r="A78" s="1031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244.38</v>
      </c>
      <c r="K78" s="1049"/>
    </row>
    <row r="79" spans="1:11" ht="19.5" customHeight="1">
      <c r="A79" s="1031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30.55</v>
      </c>
      <c r="K79" s="1049"/>
    </row>
    <row r="80" spans="1:11" ht="55.5" customHeight="1">
      <c r="A80" s="1031"/>
      <c r="B80" s="794" t="s">
        <v>316</v>
      </c>
      <c r="C80" s="1577" t="s">
        <v>1198</v>
      </c>
      <c r="D80" s="1478"/>
      <c r="E80" s="1051" t="s">
        <v>402</v>
      </c>
      <c r="F80" s="1052">
        <f>'1-ABA-DE-CARREGAMENTO'!J57</f>
        <v>0</v>
      </c>
      <c r="G80" s="1051" t="s">
        <v>403</v>
      </c>
      <c r="H80" s="1053">
        <f>'1-ABA-DE-CARREGAMENTO'!J58</f>
        <v>1</v>
      </c>
      <c r="I80" s="799">
        <f>ROUND((F80*H80),6)</f>
        <v>0</v>
      </c>
      <c r="J80" s="796">
        <f>ROUND((J58+J72)*I80,2)</f>
        <v>0</v>
      </c>
      <c r="K80" s="1049"/>
    </row>
    <row r="81" spans="1:11" ht="19.5" customHeight="1">
      <c r="A81" s="1031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18.329999999999998</v>
      </c>
      <c r="K81" s="1049"/>
    </row>
    <row r="82" spans="1:11" ht="19.5" customHeight="1">
      <c r="A82" s="1031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12.22</v>
      </c>
      <c r="K82" s="1049"/>
    </row>
    <row r="83" spans="1:11" ht="19.5" customHeight="1">
      <c r="A83" s="1031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7.33</v>
      </c>
      <c r="K83" s="1049"/>
    </row>
    <row r="84" spans="1:11" ht="19.5" customHeight="1">
      <c r="A84" s="1031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2.44</v>
      </c>
      <c r="K84" s="1049"/>
    </row>
    <row r="85" spans="1:11" ht="19.5" customHeight="1">
      <c r="A85" s="1031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97.75</v>
      </c>
      <c r="K85" s="1049"/>
    </row>
    <row r="86" spans="1:11" ht="12" customHeight="1">
      <c r="A86" s="1031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0">SUM(I78:I85)</f>
        <v>0.33800000000000002</v>
      </c>
      <c r="J86" s="788">
        <f t="shared" si="0"/>
        <v>413</v>
      </c>
      <c r="K86" s="1049"/>
    </row>
    <row r="87" spans="1:11" ht="12" customHeight="1">
      <c r="A87" s="1031"/>
      <c r="B87" s="801"/>
      <c r="C87" s="802"/>
      <c r="D87" s="802"/>
      <c r="E87" s="802"/>
      <c r="F87" s="802"/>
      <c r="G87" s="802"/>
      <c r="H87" s="802"/>
      <c r="I87" s="803"/>
      <c r="J87" s="804"/>
      <c r="K87" s="1049"/>
    </row>
    <row r="88" spans="1:11" ht="38.25" customHeight="1">
      <c r="A88" s="1031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</row>
    <row r="89" spans="1:11" ht="18.75" customHeight="1">
      <c r="A89" s="1031"/>
      <c r="B89" s="1618"/>
      <c r="C89" s="1477"/>
      <c r="D89" s="1477"/>
      <c r="E89" s="1477"/>
      <c r="F89" s="1477"/>
      <c r="G89" s="1477"/>
      <c r="H89" s="1477"/>
      <c r="I89" s="1477"/>
      <c r="J89" s="1478"/>
      <c r="K89" s="459"/>
    </row>
    <row r="90" spans="1:11" ht="15" customHeight="1">
      <c r="A90" s="1031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931"/>
    </row>
    <row r="91" spans="1:11" ht="15" customHeight="1">
      <c r="A91" s="1031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</row>
    <row r="92" spans="1:11" ht="15" customHeight="1">
      <c r="A92" s="1031"/>
      <c r="B92" s="743" t="s">
        <v>312</v>
      </c>
      <c r="C92" s="1577" t="s">
        <v>1199</v>
      </c>
      <c r="D92" s="1477"/>
      <c r="E92" s="1477"/>
      <c r="F92" s="1477"/>
      <c r="G92" s="1477"/>
      <c r="H92" s="1478"/>
      <c r="I92" s="807">
        <f>J47</f>
        <v>843.14090909090908</v>
      </c>
      <c r="J92" s="808">
        <f>IF(ROUND((I93*I95*I94)-(J47*I96),2)&lt;0,0,ROUND((I93*I95*I94)-(J47*I96),2))</f>
        <v>249.49</v>
      </c>
      <c r="K92" s="1049"/>
    </row>
    <row r="93" spans="1:11" ht="28.5" customHeight="1">
      <c r="A93" s="1031"/>
      <c r="B93" s="743" t="s">
        <v>314</v>
      </c>
      <c r="C93" s="1577" t="s">
        <v>1200</v>
      </c>
      <c r="D93" s="1477"/>
      <c r="E93" s="1477"/>
      <c r="F93" s="1477"/>
      <c r="G93" s="1477"/>
      <c r="H93" s="1477"/>
      <c r="I93" s="809">
        <f>'1-ABA-DE-CARREGAMENTO'!J72</f>
        <v>6.82</v>
      </c>
      <c r="J93" s="810" t="s">
        <v>325</v>
      </c>
      <c r="K93" s="1046"/>
    </row>
    <row r="94" spans="1:11" ht="22.5" customHeight="1">
      <c r="A94" s="1031"/>
      <c r="B94" s="743" t="s">
        <v>316</v>
      </c>
      <c r="C94" s="1577" t="s">
        <v>1201</v>
      </c>
      <c r="D94" s="1477"/>
      <c r="E94" s="1477"/>
      <c r="F94" s="1477"/>
      <c r="G94" s="1477"/>
      <c r="H94" s="1478"/>
      <c r="I94" s="811">
        <f>'1-ABA-DE-CARREGAMENTO'!J73</f>
        <v>2</v>
      </c>
      <c r="J94" s="810" t="s">
        <v>325</v>
      </c>
      <c r="K94" s="1046"/>
    </row>
    <row r="95" spans="1:11" ht="19.5" customHeight="1">
      <c r="A95" s="1031"/>
      <c r="B95" s="743" t="s">
        <v>318</v>
      </c>
      <c r="C95" s="1665" t="s">
        <v>415</v>
      </c>
      <c r="D95" s="1477"/>
      <c r="E95" s="1477"/>
      <c r="F95" s="1477"/>
      <c r="G95" s="1477"/>
      <c r="H95" s="812">
        <f>I93*I94*I95</f>
        <v>300.08000000000004</v>
      </c>
      <c r="I95" s="811">
        <f>'1-ABA-DE-CARREGAMENTO'!J74</f>
        <v>22</v>
      </c>
      <c r="J95" s="810" t="s">
        <v>325</v>
      </c>
      <c r="K95" s="1046"/>
    </row>
    <row r="96" spans="1:11" ht="27.75" customHeight="1">
      <c r="A96" s="1031"/>
      <c r="B96" s="743" t="s">
        <v>360</v>
      </c>
      <c r="C96" s="1665" t="s">
        <v>1202</v>
      </c>
      <c r="D96" s="1477"/>
      <c r="E96" s="1477"/>
      <c r="F96" s="1477"/>
      <c r="G96" s="1477"/>
      <c r="H96" s="812">
        <f>I96*J47</f>
        <v>50.588454545454546</v>
      </c>
      <c r="I96" s="814">
        <f>'1-ABA-DE-CARREGAMENTO'!J75</f>
        <v>0.06</v>
      </c>
      <c r="J96" s="815" t="s">
        <v>325</v>
      </c>
      <c r="K96" s="1046"/>
    </row>
    <row r="97" spans="1:11" ht="15" customHeight="1">
      <c r="A97" s="1031"/>
      <c r="B97" s="743" t="s">
        <v>364</v>
      </c>
      <c r="C97" s="1577" t="s">
        <v>1203</v>
      </c>
      <c r="D97" s="1477"/>
      <c r="E97" s="1477"/>
      <c r="F97" s="1477"/>
      <c r="G97" s="1477"/>
      <c r="H97" s="1477"/>
      <c r="I97" s="1477"/>
      <c r="J97" s="808">
        <f>ROUND(I98*I99,2)-ROUND((I98*I99)*I100,2)</f>
        <v>0</v>
      </c>
      <c r="K97" s="1049"/>
    </row>
    <row r="98" spans="1:11" ht="15" customHeight="1">
      <c r="A98" s="1031"/>
      <c r="B98" s="743" t="s">
        <v>366</v>
      </c>
      <c r="C98" s="1577" t="s">
        <v>1204</v>
      </c>
      <c r="D98" s="1477"/>
      <c r="E98" s="1477"/>
      <c r="F98" s="1477"/>
      <c r="G98" s="1477"/>
      <c r="H98" s="1477"/>
      <c r="I98" s="816">
        <f>IF('1-ABA-DE-CARREGAMENTO'!J60&gt;0,'1-ABA-DE-CARREGAMENTO'!J60,'1-ABA-DE-CARREGAMENTO'!J63)</f>
        <v>0</v>
      </c>
      <c r="J98" s="817"/>
      <c r="K98" s="1046"/>
    </row>
    <row r="99" spans="1:11" ht="15" customHeight="1">
      <c r="A99" s="1031"/>
      <c r="B99" s="743" t="s">
        <v>368</v>
      </c>
      <c r="C99" s="1665" t="s">
        <v>1205</v>
      </c>
      <c r="D99" s="1477"/>
      <c r="E99" s="1477"/>
      <c r="F99" s="1477"/>
      <c r="G99" s="1477"/>
      <c r="H99" s="812">
        <f>I98*I99</f>
        <v>0</v>
      </c>
      <c r="I99" s="1279">
        <f>'1-ABA-DE-CARREGAMENTO'!J62</f>
        <v>20.5</v>
      </c>
      <c r="J99" s="817"/>
      <c r="K99" s="1046"/>
    </row>
    <row r="100" spans="1:11" ht="25.5" customHeight="1">
      <c r="A100" s="1031"/>
      <c r="B100" s="794" t="s">
        <v>372</v>
      </c>
      <c r="C100" s="1665" t="s">
        <v>1206</v>
      </c>
      <c r="D100" s="1477"/>
      <c r="E100" s="1477"/>
      <c r="F100" s="1477"/>
      <c r="G100" s="1477"/>
      <c r="H100" s="812">
        <f>(I98*I99)*I100</f>
        <v>0</v>
      </c>
      <c r="I100" s="814">
        <f>'1-ABA-DE-CARREGAMENTO'!J61</f>
        <v>0.2</v>
      </c>
      <c r="J100" s="1087"/>
      <c r="K100" s="1046"/>
    </row>
    <row r="101" spans="1:11" ht="15" customHeight="1">
      <c r="A101" s="1031"/>
      <c r="B101" s="743" t="s">
        <v>376</v>
      </c>
      <c r="C101" s="1577" t="s">
        <v>1207</v>
      </c>
      <c r="D101" s="1477"/>
      <c r="E101" s="1477"/>
      <c r="F101" s="1477"/>
      <c r="G101" s="1477"/>
      <c r="H101" s="1477"/>
      <c r="I101" s="1477"/>
      <c r="J101" s="796">
        <v>0</v>
      </c>
      <c r="K101" s="1049"/>
    </row>
    <row r="102" spans="1:11" ht="34.5" customHeight="1">
      <c r="A102" s="1031"/>
      <c r="B102" s="743" t="s">
        <v>379</v>
      </c>
      <c r="C102" s="1577" t="s">
        <v>1208</v>
      </c>
      <c r="D102" s="1477"/>
      <c r="E102" s="1477"/>
      <c r="F102" s="1477"/>
      <c r="G102" s="1477"/>
      <c r="H102" s="1477"/>
      <c r="I102" s="1477"/>
      <c r="J102" s="796">
        <f>'1-ABA-DE-CARREGAMENTO'!J77</f>
        <v>6.5619790363636366</v>
      </c>
      <c r="K102" s="1049"/>
    </row>
    <row r="103" spans="1:11" ht="34.5" customHeight="1">
      <c r="A103" s="1031"/>
      <c r="B103" s="743" t="s">
        <v>423</v>
      </c>
      <c r="C103" s="1577" t="s">
        <v>1209</v>
      </c>
      <c r="D103" s="1477"/>
      <c r="E103" s="1477"/>
      <c r="F103" s="1477"/>
      <c r="G103" s="1477"/>
      <c r="H103" s="1477"/>
      <c r="I103" s="1478"/>
      <c r="J103" s="796">
        <v>0</v>
      </c>
      <c r="K103" s="1049"/>
    </row>
    <row r="104" spans="1:11" ht="16.5" customHeight="1">
      <c r="A104" s="1031"/>
      <c r="B104" s="743" t="s">
        <v>425</v>
      </c>
      <c r="C104" s="1577" t="s">
        <v>1071</v>
      </c>
      <c r="D104" s="1477"/>
      <c r="E104" s="1477"/>
      <c r="F104" s="1477"/>
      <c r="G104" s="1477"/>
      <c r="H104" s="1477"/>
      <c r="I104" s="1478"/>
      <c r="J104" s="796">
        <f>'1-ABA-DE-CARREGAMENTO'!J76</f>
        <v>0</v>
      </c>
      <c r="K104" s="1049"/>
    </row>
    <row r="105" spans="1:11" ht="17.25" customHeight="1">
      <c r="A105" s="1031"/>
      <c r="B105" s="743" t="s">
        <v>53</v>
      </c>
      <c r="C105" s="1589" t="s">
        <v>468</v>
      </c>
      <c r="D105" s="1477"/>
      <c r="E105" s="1477"/>
      <c r="F105" s="1477"/>
      <c r="G105" s="1477"/>
      <c r="H105" s="1477"/>
      <c r="I105" s="1477"/>
      <c r="J105" s="881">
        <v>0</v>
      </c>
      <c r="K105" s="789"/>
    </row>
    <row r="106" spans="1:11" ht="33.75" customHeight="1">
      <c r="A106" s="1031"/>
      <c r="B106" s="823"/>
      <c r="C106" s="1585" t="s">
        <v>393</v>
      </c>
      <c r="D106" s="1477"/>
      <c r="E106" s="1477"/>
      <c r="F106" s="1477"/>
      <c r="G106" s="1477"/>
      <c r="H106" s="1477"/>
      <c r="I106" s="1521"/>
      <c r="J106" s="788">
        <f>SUM(J92:J105)</f>
        <v>256.05197903636366</v>
      </c>
      <c r="K106" s="1049"/>
    </row>
    <row r="107" spans="1:11" ht="12" customHeight="1">
      <c r="A107" s="1031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459"/>
    </row>
    <row r="108" spans="1:11" ht="34.5" customHeight="1">
      <c r="A108" s="1031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</row>
    <row r="109" spans="1:11" ht="10.5" customHeight="1">
      <c r="A109" s="1031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</row>
    <row r="110" spans="1:11" ht="19.5" customHeight="1">
      <c r="A110" s="1031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</row>
    <row r="111" spans="1:11" ht="19.5" customHeight="1">
      <c r="A111" s="1031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793" t="s">
        <v>390</v>
      </c>
      <c r="K111" s="783"/>
    </row>
    <row r="112" spans="1:11" ht="19.5" customHeight="1">
      <c r="A112" s="1031"/>
      <c r="B112" s="733" t="s">
        <v>388</v>
      </c>
      <c r="C112" s="1656" t="s">
        <v>1210</v>
      </c>
      <c r="D112" s="1477"/>
      <c r="E112" s="1477"/>
      <c r="F112" s="1477"/>
      <c r="G112" s="1477"/>
      <c r="H112" s="1477"/>
      <c r="I112" s="1478"/>
      <c r="J112" s="824">
        <f>J72</f>
        <v>124.6</v>
      </c>
      <c r="K112" s="825"/>
    </row>
    <row r="113" spans="1:11" ht="19.5" customHeight="1">
      <c r="A113" s="1031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413</v>
      </c>
      <c r="K113" s="825"/>
    </row>
    <row r="114" spans="1:11" ht="19.5" customHeight="1">
      <c r="A114" s="1031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256.05197903636366</v>
      </c>
      <c r="K114" s="825"/>
    </row>
    <row r="115" spans="1:11" ht="14.25" customHeight="1">
      <c r="A115" s="1031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793.65197903636363</v>
      </c>
      <c r="K115" s="825"/>
    </row>
    <row r="116" spans="1:11" ht="14.25" customHeight="1">
      <c r="A116" s="1031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</row>
    <row r="117" spans="1:11" ht="18.75" customHeight="1">
      <c r="A117" s="1031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1054"/>
    </row>
    <row r="118" spans="1:11" ht="15.75" customHeight="1">
      <c r="A118" s="1031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805" t="s">
        <v>390</v>
      </c>
      <c r="K118" s="1055"/>
    </row>
    <row r="119" spans="1:11" ht="45" customHeight="1">
      <c r="A119" s="1031"/>
      <c r="B119" s="743" t="s">
        <v>312</v>
      </c>
      <c r="C119" s="1577" t="s">
        <v>1211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5.47</v>
      </c>
      <c r="K119" s="1049"/>
    </row>
    <row r="120" spans="1:11" ht="15.75" customHeight="1">
      <c r="A120" s="1031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0.44</v>
      </c>
      <c r="K120" s="1049"/>
    </row>
    <row r="121" spans="1:11" ht="70.5" customHeight="1">
      <c r="A121" s="1031"/>
      <c r="B121" s="743" t="s">
        <v>316</v>
      </c>
      <c r="C121" s="1672" t="s">
        <v>1212</v>
      </c>
      <c r="D121" s="1477"/>
      <c r="E121" s="1477"/>
      <c r="F121" s="1477"/>
      <c r="G121" s="1477"/>
      <c r="H121" s="1477"/>
      <c r="I121" s="830" t="str">
        <f>IF(J121&lt;J58*1.94%,"OK","VERIFIQUE")</f>
        <v>OK</v>
      </c>
      <c r="J121" s="796">
        <f>ROUND(((7/30)/$I$11)*$J$58*1,2)</f>
        <v>8.5299999999999994</v>
      </c>
      <c r="K121" s="1049"/>
    </row>
    <row r="122" spans="1:11" ht="18.75" customHeight="1">
      <c r="A122" s="1031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2.88</v>
      </c>
      <c r="K122" s="1049"/>
    </row>
    <row r="123" spans="1:11" ht="36.75" customHeight="1">
      <c r="A123" s="1031"/>
      <c r="B123" s="743" t="s">
        <v>360</v>
      </c>
      <c r="C123" s="1577" t="s">
        <v>1213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43.89</v>
      </c>
      <c r="K123" s="1049"/>
    </row>
    <row r="124" spans="1:11" ht="19.5" customHeight="1">
      <c r="A124" s="1031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61.21</v>
      </c>
      <c r="K124" s="1049"/>
    </row>
    <row r="125" spans="1:11" ht="15.75" customHeight="1">
      <c r="A125" s="1031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1056"/>
    </row>
    <row r="126" spans="1:11" ht="17.25" customHeight="1">
      <c r="A126" s="1031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</row>
    <row r="127" spans="1:11" ht="24.75" customHeight="1">
      <c r="A127" s="1031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</row>
    <row r="128" spans="1:11" ht="28.5" customHeight="1">
      <c r="A128" s="1031"/>
      <c r="B128" s="1663" t="s">
        <v>1214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</row>
    <row r="129" spans="1:11" ht="35.25" customHeight="1">
      <c r="A129" s="1031"/>
      <c r="B129" s="832" t="s">
        <v>445</v>
      </c>
      <c r="C129" s="833">
        <f>J58</f>
        <v>1097.320909090909</v>
      </c>
      <c r="D129" s="834" t="s">
        <v>446</v>
      </c>
      <c r="E129" s="832" t="s">
        <v>1215</v>
      </c>
      <c r="F129" s="833">
        <f>J115-J92-J97</f>
        <v>544.16197903636362</v>
      </c>
      <c r="G129" s="834" t="s">
        <v>446</v>
      </c>
      <c r="H129" s="832" t="s">
        <v>448</v>
      </c>
      <c r="I129" s="833">
        <f>J124</f>
        <v>61.21</v>
      </c>
      <c r="J129" s="835">
        <f>C129+F129+I129</f>
        <v>1702.6928881272727</v>
      </c>
      <c r="K129" s="836"/>
    </row>
    <row r="130" spans="1:11" ht="30.75" customHeight="1">
      <c r="A130" s="1031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</row>
    <row r="131" spans="1:11" ht="15.75" customHeight="1">
      <c r="A131" s="1031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</row>
    <row r="132" spans="1:11" ht="17.25" customHeight="1">
      <c r="A132" s="1031"/>
      <c r="B132" s="1057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57" t="s">
        <v>390</v>
      </c>
      <c r="K132" s="1058"/>
    </row>
    <row r="133" spans="1:11" ht="45" customHeight="1">
      <c r="A133" s="1031"/>
      <c r="B133" s="743" t="s">
        <v>312</v>
      </c>
      <c r="C133" s="1656" t="s">
        <v>1216</v>
      </c>
      <c r="D133" s="1477"/>
      <c r="E133" s="1477"/>
      <c r="F133" s="1477"/>
      <c r="G133" s="1477"/>
      <c r="H133" s="840">
        <v>9.0749999999999997E-2</v>
      </c>
      <c r="I133" s="1004">
        <f>I86</f>
        <v>0.33800000000000002</v>
      </c>
      <c r="J133" s="796">
        <f>IF('1-ABA-DE-CARREGAMENTO'!J81="S",(ROUND(H133*J58,2)*(1+I133)),IF('1-ABA-DE-CARREGAMENTO'!J81="N",0,"INFORME S ou N"))</f>
        <v>133.23804000000001</v>
      </c>
      <c r="K133" s="1049"/>
    </row>
    <row r="134" spans="1:11" ht="17.25" customHeight="1">
      <c r="A134" s="1031"/>
      <c r="B134" s="743" t="s">
        <v>314</v>
      </c>
      <c r="C134" s="1577" t="s">
        <v>1217</v>
      </c>
      <c r="D134" s="1477"/>
      <c r="E134" s="1477"/>
      <c r="F134" s="1477"/>
      <c r="G134" s="1477"/>
      <c r="H134" s="1477"/>
      <c r="I134" s="1478"/>
      <c r="J134" s="796">
        <f>ROUND((1/30)/12*(J129),2)</f>
        <v>4.7300000000000004</v>
      </c>
      <c r="K134" s="1049"/>
    </row>
    <row r="135" spans="1:11" ht="28.5" customHeight="1">
      <c r="A135" s="1031"/>
      <c r="B135" s="743" t="s">
        <v>316</v>
      </c>
      <c r="C135" s="1577" t="s">
        <v>1218</v>
      </c>
      <c r="D135" s="1477"/>
      <c r="E135" s="1477"/>
      <c r="F135" s="1477"/>
      <c r="G135" s="1477"/>
      <c r="H135" s="1477"/>
      <c r="I135" s="1478"/>
      <c r="J135" s="796">
        <f>ROUND((5/30)/12*0.015*(J129),2)</f>
        <v>0.35</v>
      </c>
      <c r="K135" s="1049"/>
    </row>
    <row r="136" spans="1:11" ht="33.75" customHeight="1">
      <c r="A136" s="1031"/>
      <c r="B136" s="743" t="s">
        <v>318</v>
      </c>
      <c r="C136" s="1577" t="s">
        <v>1219</v>
      </c>
      <c r="D136" s="1477"/>
      <c r="E136" s="1477"/>
      <c r="F136" s="1477"/>
      <c r="G136" s="1477"/>
      <c r="H136" s="1477"/>
      <c r="I136" s="1478"/>
      <c r="J136" s="796">
        <f>ROUND(((15/30)/12)*0.0078*(J129),2)</f>
        <v>0.55000000000000004</v>
      </c>
      <c r="K136" s="1049"/>
    </row>
    <row r="137" spans="1:11" ht="30.75" customHeight="1">
      <c r="A137" s="1031"/>
      <c r="B137" s="843" t="s">
        <v>360</v>
      </c>
      <c r="C137" s="1676" t="s">
        <v>1220</v>
      </c>
      <c r="D137" s="1477"/>
      <c r="E137" s="1477"/>
      <c r="F137" s="1477"/>
      <c r="G137" s="1477"/>
      <c r="H137" s="1477"/>
      <c r="I137" s="1478"/>
      <c r="J137" s="1280">
        <f>ROUND(((((C129+C129/3)+(I86)*(C129+C129/3))*(4/12))/12)*0.02,2) + ((J106 -J92-J97+ J124)*4/12)*0.02</f>
        <v>1.5418131935757577</v>
      </c>
      <c r="K137" s="1059"/>
    </row>
    <row r="138" spans="1:11" ht="53.25" customHeight="1">
      <c r="A138" s="1031"/>
      <c r="B138" s="743" t="s">
        <v>364</v>
      </c>
      <c r="C138" s="1577" t="s">
        <v>1221</v>
      </c>
      <c r="D138" s="1477"/>
      <c r="E138" s="1477"/>
      <c r="F138" s="1477"/>
      <c r="G138" s="1477"/>
      <c r="H138" s="1477"/>
      <c r="I138" s="1478"/>
      <c r="J138" s="796">
        <f>ROUND(((3/30)/12)*(J129),2)</f>
        <v>14.19</v>
      </c>
      <c r="K138" s="1049"/>
    </row>
    <row r="139" spans="1:11" ht="12" customHeight="1">
      <c r="A139" s="1031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154.59985319357577</v>
      </c>
      <c r="K139" s="1049"/>
    </row>
    <row r="140" spans="1:11" ht="7.5" customHeight="1">
      <c r="A140" s="1031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1056"/>
    </row>
    <row r="141" spans="1:11" ht="19.5" customHeight="1">
      <c r="A141" s="1031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931"/>
    </row>
    <row r="142" spans="1:11" ht="19.5" customHeight="1">
      <c r="A142" s="1031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1060"/>
    </row>
    <row r="143" spans="1:11" ht="19.5" customHeight="1">
      <c r="A143" s="1031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1061"/>
    </row>
    <row r="144" spans="1:11" ht="19.5" customHeight="1">
      <c r="A144" s="1031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1061"/>
    </row>
    <row r="145" spans="1:11" ht="6.75" customHeight="1">
      <c r="A145" s="1031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1062"/>
    </row>
    <row r="146" spans="1:11" ht="19.5" customHeight="1">
      <c r="A146" s="1031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1048"/>
    </row>
    <row r="147" spans="1:11" ht="19.5" customHeight="1">
      <c r="A147" s="1031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1060"/>
    </row>
    <row r="148" spans="1:11" ht="28.5" customHeight="1">
      <c r="A148" s="1031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154.59985319357577</v>
      </c>
      <c r="K148" s="1061"/>
    </row>
    <row r="149" spans="1:11" ht="24" customHeight="1">
      <c r="A149" s="1031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1061"/>
    </row>
    <row r="150" spans="1:11" ht="24" customHeight="1">
      <c r="A150" s="1031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154.59985319357577</v>
      </c>
      <c r="K150" s="1061"/>
    </row>
    <row r="151" spans="1:11" ht="9.75" customHeight="1">
      <c r="A151" s="1031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1062"/>
    </row>
    <row r="152" spans="1:11" ht="15.75" customHeight="1">
      <c r="A152" s="1031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</row>
    <row r="153" spans="1:11" ht="15.75" customHeight="1">
      <c r="A153" s="1031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805" t="s">
        <v>390</v>
      </c>
      <c r="K153" s="1055"/>
    </row>
    <row r="154" spans="1:11" ht="24" customHeight="1">
      <c r="A154" s="1031"/>
      <c r="B154" s="743" t="s">
        <v>312</v>
      </c>
      <c r="C154" s="1577" t="s">
        <v>296</v>
      </c>
      <c r="D154" s="1477"/>
      <c r="E154" s="1477"/>
      <c r="F154" s="1477"/>
      <c r="G154" s="1477"/>
      <c r="H154" s="1477"/>
      <c r="I154" s="1478"/>
      <c r="J154" s="796">
        <v>0</v>
      </c>
      <c r="K154" s="1049"/>
    </row>
    <row r="155" spans="1:11" ht="15.75" customHeight="1">
      <c r="A155" s="1031"/>
      <c r="B155" s="743" t="s">
        <v>314</v>
      </c>
      <c r="C155" s="1577" t="s">
        <v>639</v>
      </c>
      <c r="D155" s="1477"/>
      <c r="E155" s="1477"/>
      <c r="F155" s="1477"/>
      <c r="G155" s="1477"/>
      <c r="H155" s="1477"/>
      <c r="I155" s="1478"/>
      <c r="J155" s="881">
        <v>0</v>
      </c>
      <c r="K155" s="789"/>
    </row>
    <row r="156" spans="1:11" ht="15.75" customHeight="1">
      <c r="A156" s="1031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81" t="s">
        <v>640</v>
      </c>
      <c r="K156" s="789"/>
    </row>
    <row r="157" spans="1:11" ht="19.5" customHeight="1">
      <c r="A157" s="1031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0</v>
      </c>
      <c r="K157" s="789"/>
    </row>
    <row r="158" spans="1:11" ht="7.5" customHeight="1">
      <c r="A158" s="1031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1063"/>
    </row>
    <row r="159" spans="1:11" ht="18.75" customHeight="1">
      <c r="A159" s="1031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52"/>
    </row>
    <row r="160" spans="1:11" ht="10.5" customHeight="1">
      <c r="A160" s="1031"/>
      <c r="B160" s="859"/>
      <c r="C160" s="860"/>
      <c r="D160" s="860"/>
      <c r="E160" s="860"/>
      <c r="F160" s="860"/>
      <c r="G160" s="860"/>
      <c r="H160" s="860"/>
      <c r="I160" s="860"/>
      <c r="J160" s="861"/>
      <c r="K160" s="315"/>
    </row>
    <row r="161" spans="1:11" ht="24" customHeight="1">
      <c r="A161" s="1031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1054"/>
    </row>
    <row r="162" spans="1:11" ht="18.75" customHeight="1">
      <c r="A162" s="1031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</row>
    <row r="163" spans="1:11" ht="60" customHeight="1">
      <c r="A163" s="1031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866">
        <f>SUM(J63+J115+J124+J150+J157)</f>
        <v>2106.7827413208483</v>
      </c>
      <c r="K163" s="1064"/>
    </row>
    <row r="164" spans="1:11" ht="24" customHeight="1">
      <c r="A164" s="1031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'1-ABA-DE-CARREGAMENTO'!J85</f>
        <v>0.06</v>
      </c>
      <c r="J164" s="796">
        <f>ROUND(I164*J163,2)</f>
        <v>126.41</v>
      </c>
      <c r="K164" s="1049"/>
    </row>
    <row r="165" spans="1:11" ht="50.25" customHeight="1">
      <c r="A165" s="1031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866">
        <f>SUM(J63+J115+J124+J150+J157+J164)</f>
        <v>2233.1927413208482</v>
      </c>
      <c r="K165" s="1064"/>
    </row>
    <row r="166" spans="1:11" ht="19.5" customHeight="1">
      <c r="A166" s="1031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'1-ABA-DE-CARREGAMENTO'!J86</f>
        <v>0.06</v>
      </c>
      <c r="J166" s="796">
        <f>ROUND(I166*J165,2)</f>
        <v>133.99</v>
      </c>
      <c r="K166" s="1049"/>
    </row>
    <row r="167" spans="1:11" ht="54" customHeight="1">
      <c r="A167" s="1031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866">
        <f>SUM(J163+J164+J166)</f>
        <v>2367.1827413208484</v>
      </c>
      <c r="K167" s="1064"/>
    </row>
    <row r="168" spans="1:11" ht="18.75" customHeight="1">
      <c r="A168" s="1031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769" t="s">
        <v>325</v>
      </c>
      <c r="K168" s="1046"/>
    </row>
    <row r="169" spans="1:11" ht="30" customHeight="1">
      <c r="A169" s="1031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769" t="s">
        <v>325</v>
      </c>
      <c r="K169" s="1046"/>
    </row>
    <row r="170" spans="1:11" ht="23.25" customHeight="1">
      <c r="A170" s="1031"/>
      <c r="B170" s="743"/>
      <c r="C170" s="1590" t="s">
        <v>1222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281">
        <f t="shared" ref="J170:J171" si="1">ROUND(($J$167/(1-$I$179))*I170,2)</f>
        <v>44.01</v>
      </c>
      <c r="K170" s="1065"/>
    </row>
    <row r="171" spans="1:11" ht="23.25" customHeight="1">
      <c r="A171" s="1031"/>
      <c r="B171" s="743"/>
      <c r="C171" s="1590" t="s">
        <v>1223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281">
        <f t="shared" si="1"/>
        <v>202.71</v>
      </c>
      <c r="K171" s="1065"/>
    </row>
    <row r="172" spans="1:11" ht="23.25" customHeight="1">
      <c r="A172" s="1031"/>
      <c r="B172" s="743"/>
      <c r="C172" s="1577" t="s">
        <v>1224</v>
      </c>
      <c r="D172" s="1477"/>
      <c r="E172" s="1477"/>
      <c r="F172" s="1477"/>
      <c r="G172" s="1477"/>
      <c r="H172" s="1478"/>
      <c r="I172" s="872" t="s">
        <v>325</v>
      </c>
      <c r="J172" s="769" t="s">
        <v>325</v>
      </c>
      <c r="K172" s="1046"/>
    </row>
    <row r="173" spans="1:11" ht="23.25" customHeight="1">
      <c r="A173" s="1031"/>
      <c r="B173" s="743"/>
      <c r="C173" s="1577" t="s">
        <v>1225</v>
      </c>
      <c r="D173" s="1477"/>
      <c r="E173" s="1477"/>
      <c r="F173" s="1477"/>
      <c r="G173" s="1477"/>
      <c r="H173" s="1478"/>
      <c r="I173" s="872" t="s">
        <v>325</v>
      </c>
      <c r="J173" s="769" t="s">
        <v>325</v>
      </c>
      <c r="K173" s="1046"/>
    </row>
    <row r="174" spans="1:11" ht="15.75" customHeight="1">
      <c r="A174" s="1031"/>
      <c r="B174" s="743"/>
      <c r="C174" s="1577" t="s">
        <v>483</v>
      </c>
      <c r="D174" s="1477"/>
      <c r="E174" s="1477"/>
      <c r="F174" s="1477"/>
      <c r="G174" s="1477"/>
      <c r="H174" s="1477"/>
      <c r="I174" s="1066" t="s">
        <v>325</v>
      </c>
      <c r="J174" s="1282" t="s">
        <v>325</v>
      </c>
      <c r="K174" s="1067"/>
    </row>
    <row r="175" spans="1:11" ht="15.75" customHeight="1">
      <c r="A175" s="1031"/>
      <c r="B175" s="743"/>
      <c r="C175" s="1577" t="s">
        <v>484</v>
      </c>
      <c r="D175" s="1477"/>
      <c r="E175" s="1477"/>
      <c r="F175" s="1477"/>
      <c r="G175" s="1477"/>
      <c r="H175" s="1477"/>
      <c r="I175" s="1066" t="s">
        <v>325</v>
      </c>
      <c r="J175" s="1282" t="s">
        <v>325</v>
      </c>
      <c r="K175" s="1067"/>
    </row>
    <row r="176" spans="1:11" ht="15.75" customHeight="1">
      <c r="A176" s="1031"/>
      <c r="B176" s="743"/>
      <c r="C176" s="1577" t="s">
        <v>1226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281">
        <f>ROUND(($J$167/(1-$I$179))*I176,2)</f>
        <v>53.34</v>
      </c>
      <c r="K176" s="1065"/>
    </row>
    <row r="177" spans="1:11" ht="15.75" customHeight="1">
      <c r="A177" s="1031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788">
        <f>SUM(J164+J166+J170+J171+J176)</f>
        <v>560.46</v>
      </c>
      <c r="K177" s="1049"/>
    </row>
    <row r="178" spans="1:11" ht="15.75" customHeight="1">
      <c r="A178" s="1031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1056"/>
    </row>
    <row r="179" spans="1:11" ht="15.75" customHeight="1">
      <c r="A179" s="1031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2">SUM(I170:I176)</f>
        <v>0.1125</v>
      </c>
      <c r="J179" s="866">
        <f t="shared" si="2"/>
        <v>300.06</v>
      </c>
      <c r="K179" s="1064"/>
    </row>
    <row r="180" spans="1:11" ht="15.75" customHeight="1">
      <c r="A180" s="1031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5"/>
    </row>
    <row r="181" spans="1:11" ht="15.75" customHeight="1">
      <c r="A181" s="1031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7"/>
    </row>
    <row r="182" spans="1:11" ht="15.75" customHeight="1">
      <c r="A182" s="1031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5"/>
    </row>
    <row r="183" spans="1:11" ht="9" customHeight="1">
      <c r="A183" s="1031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1068"/>
    </row>
    <row r="184" spans="1:11" ht="25.5" customHeight="1">
      <c r="A184" s="1031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</row>
    <row r="185" spans="1:11" ht="12" customHeight="1">
      <c r="A185" s="1031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1056"/>
    </row>
    <row r="186" spans="1:11" ht="15.75" customHeight="1">
      <c r="A186" s="1031"/>
      <c r="B186" s="1674" t="s">
        <v>1227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</row>
    <row r="187" spans="1:11" ht="15.75" customHeight="1">
      <c r="A187" s="1031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863" t="s">
        <v>390</v>
      </c>
      <c r="K187" s="697"/>
    </row>
    <row r="188" spans="1:11" ht="15.75" customHeight="1">
      <c r="A188" s="1031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1097.320909090909</v>
      </c>
      <c r="K188" s="789"/>
    </row>
    <row r="189" spans="1:11" ht="15.75" customHeight="1">
      <c r="A189" s="1031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793.65197903636363</v>
      </c>
      <c r="K189" s="789"/>
    </row>
    <row r="190" spans="1:11" ht="15.75" customHeight="1">
      <c r="A190" s="1031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61.21</v>
      </c>
      <c r="K190" s="789"/>
    </row>
    <row r="191" spans="1:11" ht="15.75" customHeight="1">
      <c r="A191" s="1031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154.59985319357577</v>
      </c>
      <c r="K191" s="789"/>
    </row>
    <row r="192" spans="1:11" ht="15.75" customHeight="1">
      <c r="A192" s="1031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0</v>
      </c>
      <c r="K192" s="789"/>
    </row>
    <row r="193" spans="1:11" ht="15.75" customHeight="1">
      <c r="A193" s="1031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2106.7800000000002</v>
      </c>
      <c r="K193" s="789"/>
    </row>
    <row r="194" spans="1:11" ht="15.75" customHeight="1">
      <c r="A194" s="1031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560.46</v>
      </c>
      <c r="K194" s="789"/>
    </row>
    <row r="195" spans="1:11" ht="15.75" customHeight="1">
      <c r="A195" s="1031"/>
      <c r="B195" s="1600" t="s">
        <v>647</v>
      </c>
      <c r="C195" s="1477"/>
      <c r="D195" s="1477"/>
      <c r="E195" s="1477"/>
      <c r="F195" s="1477"/>
      <c r="G195" s="1477"/>
      <c r="H195" s="1477"/>
      <c r="I195" s="1521"/>
      <c r="J195" s="857">
        <f>J193+J194</f>
        <v>2667.2400000000002</v>
      </c>
      <c r="K195" s="789"/>
    </row>
    <row r="196" spans="1:11" ht="34.5" customHeight="1">
      <c r="A196" s="1031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</row>
    <row r="197" spans="1:11" ht="8.25" customHeight="1">
      <c r="A197" s="1031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</row>
    <row r="198" spans="1:11" ht="15.75" customHeight="1">
      <c r="A198" s="1031"/>
      <c r="B198" s="885"/>
      <c r="C198" s="723"/>
      <c r="D198" s="723"/>
      <c r="E198" s="723"/>
      <c r="F198" s="723"/>
      <c r="G198" s="723"/>
      <c r="H198" s="723"/>
      <c r="I198" s="1069"/>
      <c r="J198" s="1070"/>
      <c r="K198" s="1069"/>
    </row>
    <row r="199" spans="1:11" ht="15.75" customHeight="1">
      <c r="A199" s="1031"/>
      <c r="B199" s="1693" t="s">
        <v>1228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</row>
    <row r="200" spans="1:11" ht="69.75" customHeight="1">
      <c r="A200" s="1031"/>
      <c r="B200" s="1641" t="s">
        <v>503</v>
      </c>
      <c r="C200" s="1477"/>
      <c r="D200" s="1477"/>
      <c r="E200" s="1478"/>
      <c r="F200" s="889" t="s">
        <v>648</v>
      </c>
      <c r="G200" s="890"/>
      <c r="H200" s="891" t="s">
        <v>506</v>
      </c>
      <c r="I200" s="1641" t="s">
        <v>507</v>
      </c>
      <c r="J200" s="1478"/>
      <c r="K200" s="697"/>
    </row>
    <row r="201" spans="1:11" ht="36" hidden="1" customHeight="1" outlineLevel="1">
      <c r="A201" s="1031"/>
      <c r="B201" s="1577" t="s">
        <v>508</v>
      </c>
      <c r="C201" s="1477"/>
      <c r="D201" s="1477"/>
      <c r="E201" s="1478"/>
      <c r="F201" s="1694">
        <v>0</v>
      </c>
      <c r="G201" s="1478"/>
      <c r="H201" s="892">
        <f t="shared" ref="H201:H202" si="3">E201*F201</f>
        <v>0</v>
      </c>
      <c r="I201" s="1694">
        <f t="shared" ref="I201:I202" si="4">F201*H201</f>
        <v>0</v>
      </c>
      <c r="J201" s="1478"/>
      <c r="K201" s="770"/>
    </row>
    <row r="202" spans="1:11" ht="36" hidden="1" customHeight="1" outlineLevel="1">
      <c r="A202" s="1031"/>
      <c r="B202" s="1577" t="s">
        <v>509</v>
      </c>
      <c r="C202" s="1477"/>
      <c r="D202" s="1477"/>
      <c r="E202" s="1478"/>
      <c r="F202" s="1694">
        <v>0</v>
      </c>
      <c r="G202" s="1478"/>
      <c r="H202" s="893">
        <f t="shared" si="3"/>
        <v>0</v>
      </c>
      <c r="I202" s="1694">
        <f t="shared" si="4"/>
        <v>0</v>
      </c>
      <c r="J202" s="1478"/>
      <c r="K202" s="770"/>
    </row>
    <row r="203" spans="1:11" ht="36" customHeight="1" collapsed="1">
      <c r="A203" s="1031"/>
      <c r="B203" s="1609" t="str">
        <f>B3</f>
        <v>NAO TEM MAIS POSTO 55</v>
      </c>
      <c r="C203" s="1477"/>
      <c r="D203" s="1477"/>
      <c r="E203" s="1478"/>
      <c r="F203" s="894">
        <f>J195</f>
        <v>2667.2400000000002</v>
      </c>
      <c r="G203" s="895">
        <f>I40</f>
        <v>1</v>
      </c>
      <c r="H203" s="1071"/>
      <c r="I203" s="1695">
        <f>F203*G203</f>
        <v>2667.2400000000002</v>
      </c>
      <c r="J203" s="1478"/>
      <c r="K203" s="770"/>
    </row>
    <row r="204" spans="1:11" ht="36" hidden="1" customHeight="1" outlineLevel="1">
      <c r="A204" s="1031"/>
      <c r="B204" s="1577" t="s">
        <v>511</v>
      </c>
      <c r="C204" s="1477"/>
      <c r="D204" s="1477"/>
      <c r="E204" s="1478"/>
      <c r="F204" s="1696">
        <v>0</v>
      </c>
      <c r="G204" s="1478"/>
      <c r="H204" s="898">
        <f t="shared" ref="H204:I204" si="5">E204*G204</f>
        <v>0</v>
      </c>
      <c r="I204" s="1696">
        <f t="shared" si="5"/>
        <v>0</v>
      </c>
      <c r="J204" s="1478"/>
      <c r="K204" s="770"/>
    </row>
    <row r="205" spans="1:11" ht="36" hidden="1" customHeight="1" outlineLevel="1">
      <c r="A205" s="1031"/>
      <c r="B205" s="1577" t="s">
        <v>512</v>
      </c>
      <c r="C205" s="1477"/>
      <c r="D205" s="1477"/>
      <c r="E205" s="1478"/>
      <c r="F205" s="1696">
        <v>0</v>
      </c>
      <c r="G205" s="1478"/>
      <c r="H205" s="898">
        <f t="shared" ref="H205:I205" si="6">E205*G205</f>
        <v>0</v>
      </c>
      <c r="I205" s="1696">
        <f t="shared" si="6"/>
        <v>0</v>
      </c>
      <c r="J205" s="1478"/>
      <c r="K205" s="770"/>
    </row>
    <row r="206" spans="1:11" ht="15.75" hidden="1" customHeight="1" outlineLevel="1">
      <c r="A206" s="1031"/>
      <c r="B206" s="1730" t="s">
        <v>1229</v>
      </c>
      <c r="C206" s="1477"/>
      <c r="D206" s="1477"/>
      <c r="E206" s="1478"/>
      <c r="F206" s="1694">
        <v>0</v>
      </c>
      <c r="G206" s="1478"/>
      <c r="H206" s="898">
        <f t="shared" ref="H206:I206" si="7">E206*G206</f>
        <v>0</v>
      </c>
      <c r="I206" s="1696">
        <f t="shared" si="7"/>
        <v>0</v>
      </c>
      <c r="J206" s="1478"/>
      <c r="K206" s="770"/>
    </row>
    <row r="207" spans="1:11" ht="33" customHeight="1" collapsed="1">
      <c r="A207" s="1031"/>
      <c r="B207" s="1699" t="s">
        <v>514</v>
      </c>
      <c r="C207" s="1477"/>
      <c r="D207" s="1477"/>
      <c r="E207" s="1477"/>
      <c r="F207" s="1477"/>
      <c r="G207" s="1478"/>
      <c r="H207" s="899">
        <f>I17</f>
        <v>0</v>
      </c>
      <c r="I207" s="1697">
        <f>H207*I203</f>
        <v>0</v>
      </c>
      <c r="J207" s="1478"/>
      <c r="K207" s="1283"/>
    </row>
    <row r="208" spans="1:11" ht="7.5" customHeight="1">
      <c r="A208" s="1031"/>
      <c r="B208" s="1723"/>
      <c r="C208" s="1705"/>
      <c r="D208" s="1705"/>
      <c r="E208" s="1705"/>
      <c r="F208" s="1705"/>
      <c r="G208" s="1705"/>
      <c r="H208" s="1705"/>
      <c r="I208" s="1705"/>
      <c r="J208" s="1706"/>
      <c r="K208" s="1056"/>
    </row>
    <row r="209" spans="1:11" ht="15.75" customHeight="1">
      <c r="A209" s="1031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</row>
    <row r="210" spans="1:11" ht="7.5" customHeight="1">
      <c r="A210" s="1031"/>
      <c r="B210" s="1724"/>
      <c r="C210" s="1477"/>
      <c r="D210" s="1477"/>
      <c r="E210" s="1477"/>
      <c r="F210" s="1477"/>
      <c r="G210" s="1477"/>
      <c r="H210" s="1477"/>
      <c r="I210" s="1477"/>
      <c r="J210" s="1478"/>
      <c r="K210" s="1284"/>
    </row>
    <row r="211" spans="1:11" ht="15.75" customHeight="1">
      <c r="A211" s="1031"/>
      <c r="B211" s="1563" t="s">
        <v>516</v>
      </c>
      <c r="C211" s="1477"/>
      <c r="D211" s="1477"/>
      <c r="E211" s="1477"/>
      <c r="F211" s="1477"/>
      <c r="G211" s="1478"/>
      <c r="H211" s="1564">
        <f>$I$207</f>
        <v>0</v>
      </c>
      <c r="I211" s="1477"/>
      <c r="J211" s="1478"/>
      <c r="K211" s="901"/>
    </row>
    <row r="212" spans="1:11" ht="7.5" customHeight="1">
      <c r="A212" s="1031"/>
      <c r="B212" s="1725"/>
      <c r="C212" s="1528"/>
      <c r="D212" s="1528"/>
      <c r="E212" s="1528"/>
      <c r="F212" s="1528"/>
      <c r="G212" s="1528"/>
      <c r="H212" s="1528"/>
      <c r="I212" s="1528"/>
      <c r="J212" s="1566"/>
      <c r="K212" s="1285"/>
    </row>
    <row r="213" spans="1:11" ht="15.75" customHeight="1">
      <c r="A213" s="1031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</row>
    <row r="214" spans="1:11" ht="7.5" customHeight="1">
      <c r="A214" s="1031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</row>
    <row r="215" spans="1:11" ht="15.75" customHeight="1">
      <c r="A215" s="1031"/>
      <c r="B215" s="1563" t="s">
        <v>1230</v>
      </c>
      <c r="C215" s="1477"/>
      <c r="D215" s="1477"/>
      <c r="E215" s="1477"/>
      <c r="F215" s="1477"/>
      <c r="G215" s="1478"/>
      <c r="H215" s="1569">
        <f>ROUND(H211*H213,2)</f>
        <v>0</v>
      </c>
      <c r="I215" s="1477"/>
      <c r="J215" s="1478"/>
      <c r="K215" s="1286"/>
    </row>
    <row r="216" spans="1:11" ht="7.5" customHeight="1">
      <c r="A216" s="1031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</row>
    <row r="217" spans="1:11" ht="15.75" customHeight="1">
      <c r="A217" s="1031"/>
      <c r="B217" s="1031"/>
      <c r="C217" s="1031"/>
      <c r="D217" s="1031"/>
      <c r="E217" s="1031"/>
      <c r="F217" s="1031"/>
      <c r="G217" s="1031"/>
      <c r="H217" s="1031"/>
      <c r="I217" s="1031"/>
      <c r="J217" s="1031"/>
      <c r="K217" s="1031"/>
    </row>
    <row r="218" spans="1:11" ht="45.75" customHeight="1">
      <c r="B218" s="1746" t="s">
        <v>1231</v>
      </c>
      <c r="C218" s="1456"/>
      <c r="D218" s="1456"/>
      <c r="E218" s="1456"/>
      <c r="F218" s="1456"/>
      <c r="G218" s="1456"/>
      <c r="H218" s="1456"/>
      <c r="I218" s="1456"/>
      <c r="J218" s="1475"/>
    </row>
    <row r="219" spans="1:11" ht="15.75" customHeight="1">
      <c r="B219" s="1287"/>
      <c r="C219" s="458"/>
      <c r="D219" s="458"/>
      <c r="E219" s="1288"/>
      <c r="F219" s="181"/>
      <c r="G219" s="1289"/>
      <c r="H219" s="1290"/>
      <c r="I219" s="1291"/>
      <c r="J219" s="1291"/>
    </row>
    <row r="220" spans="1:11" ht="15.75" customHeight="1">
      <c r="B220" s="1747" t="s">
        <v>1232</v>
      </c>
      <c r="C220" s="1477"/>
      <c r="D220" s="1521"/>
      <c r="E220" s="1292" t="s">
        <v>1233</v>
      </c>
      <c r="F220" s="1293" t="s">
        <v>1234</v>
      </c>
      <c r="G220" s="1294" t="s">
        <v>1235</v>
      </c>
      <c r="H220" s="1295" t="s">
        <v>1236</v>
      </c>
      <c r="I220" s="1031"/>
      <c r="J220" s="1031"/>
    </row>
    <row r="221" spans="1:11" ht="15.75" customHeight="1">
      <c r="B221" s="1296" t="str">
        <f>B45</f>
        <v>Módulo 1: Composição da Remuneração (por Posto)</v>
      </c>
      <c r="C221" s="1297"/>
      <c r="D221" s="1298"/>
      <c r="E221" s="1298" t="s">
        <v>1237</v>
      </c>
      <c r="F221" s="1299" t="s">
        <v>325</v>
      </c>
      <c r="G221" s="1300">
        <f>J58</f>
        <v>1097.320909090909</v>
      </c>
      <c r="H221" s="1301">
        <f t="shared" ref="H221:H226" si="8">TRUNC(G221/$H$47,2)</f>
        <v>10.97</v>
      </c>
      <c r="I221" s="1031"/>
      <c r="J221" s="1031"/>
    </row>
    <row r="222" spans="1:11" ht="15.75" customHeight="1">
      <c r="B222" s="1296" t="str">
        <f>B67</f>
        <v>Módulo 2 : Encargos e Benefícios Anuais, Mensais e Diários</v>
      </c>
      <c r="C222" s="1297"/>
      <c r="D222" s="1298"/>
      <c r="E222" s="1298" t="s">
        <v>1238</v>
      </c>
      <c r="F222" s="1302">
        <f>G222/G221</f>
        <v>0.48992049230646878</v>
      </c>
      <c r="G222" s="1300">
        <f>J112+J113</f>
        <v>537.6</v>
      </c>
      <c r="H222" s="1301">
        <f t="shared" si="8"/>
        <v>5.37</v>
      </c>
      <c r="I222" s="1031"/>
      <c r="J222" s="1031"/>
    </row>
    <row r="223" spans="1:11" ht="15.75" customHeight="1">
      <c r="B223" s="1296" t="str">
        <f>B117</f>
        <v>Módulo 3 - Provisão para Rescisão</v>
      </c>
      <c r="C223" s="1297"/>
      <c r="D223" s="1298"/>
      <c r="E223" s="1298" t="s">
        <v>1237</v>
      </c>
      <c r="F223" s="1302">
        <f>G223/G221</f>
        <v>5.5781312005355195E-2</v>
      </c>
      <c r="G223" s="1300">
        <f>J124</f>
        <v>61.21</v>
      </c>
      <c r="H223" s="1301">
        <f t="shared" si="8"/>
        <v>0.61</v>
      </c>
      <c r="I223" s="1031"/>
      <c r="J223" s="1031"/>
    </row>
    <row r="224" spans="1:11" ht="15.75" customHeight="1">
      <c r="B224" s="1296" t="str">
        <f>B126</f>
        <v>Módulo 4 - Custo de Reposição do Profissional Ausente</v>
      </c>
      <c r="C224" s="1297"/>
      <c r="D224" s="1298"/>
      <c r="E224" s="1298" t="s">
        <v>1239</v>
      </c>
      <c r="F224" s="1302">
        <f t="shared" ref="F224:F225" si="9">G224/SUM($G$221:$G$226)</f>
        <v>0</v>
      </c>
      <c r="G224" s="1300">
        <f>J148*0</f>
        <v>0</v>
      </c>
      <c r="H224" s="1301">
        <f t="shared" si="8"/>
        <v>0</v>
      </c>
      <c r="I224" s="1031"/>
      <c r="J224" s="1031"/>
    </row>
    <row r="225" spans="2:10" ht="15.75" customHeight="1">
      <c r="B225" s="1296" t="str">
        <f>B152</f>
        <v>Módulo 5 – Insumos Diversos</v>
      </c>
      <c r="C225" s="1297"/>
      <c r="D225" s="1298"/>
      <c r="E225" s="1298" t="s">
        <v>1239</v>
      </c>
      <c r="F225" s="1302">
        <f t="shared" si="9"/>
        <v>0</v>
      </c>
      <c r="G225" s="1300">
        <f>J157*0</f>
        <v>0</v>
      </c>
      <c r="H225" s="1301">
        <f t="shared" si="8"/>
        <v>0</v>
      </c>
      <c r="I225" s="1031"/>
      <c r="J225" s="1031"/>
    </row>
    <row r="226" spans="2:10" ht="15.75" customHeight="1">
      <c r="B226" s="1296" t="str">
        <f>B161</f>
        <v>Módulo 6 - Custos Indiretos, Lucro e Tributos</v>
      </c>
      <c r="C226" s="1297"/>
      <c r="D226" s="1298"/>
      <c r="E226" s="1298" t="s">
        <v>1237</v>
      </c>
      <c r="F226" s="1302">
        <f>G226/G221</f>
        <v>0.51075304895476836</v>
      </c>
      <c r="G226" s="1300">
        <f>J177</f>
        <v>560.46</v>
      </c>
      <c r="H226" s="1301">
        <f t="shared" si="8"/>
        <v>5.6</v>
      </c>
      <c r="I226" s="1031"/>
      <c r="J226" s="1031"/>
    </row>
    <row r="227" spans="2:10" ht="18.75" customHeight="1">
      <c r="B227" s="458"/>
      <c r="C227" s="458"/>
      <c r="D227" s="458"/>
      <c r="E227" s="1303"/>
      <c r="F227" s="1304">
        <f>SUM((F222:F226))</f>
        <v>1.0564548532665925</v>
      </c>
      <c r="G227" s="1305">
        <f t="shared" ref="G227:H227" si="10">G221+G222+G223+G224+G225+G226</f>
        <v>2256.590909090909</v>
      </c>
      <c r="H227" s="1306">
        <f t="shared" si="10"/>
        <v>22.549999999999997</v>
      </c>
      <c r="I227" s="1031"/>
      <c r="J227" s="1031"/>
    </row>
    <row r="228" spans="2:10" ht="15.75" customHeight="1">
      <c r="C228" s="458"/>
      <c r="D228" s="458"/>
      <c r="E228" s="1307"/>
      <c r="I228" s="1031"/>
      <c r="J228" s="1031"/>
    </row>
    <row r="229" spans="2:10" ht="39" customHeight="1">
      <c r="B229" s="1308"/>
      <c r="C229" s="1308"/>
      <c r="D229" s="1308"/>
      <c r="E229" s="1309"/>
      <c r="F229" s="1310" t="s">
        <v>1240</v>
      </c>
      <c r="G229" s="1294" t="s">
        <v>1241</v>
      </c>
      <c r="H229" s="1311" t="s">
        <v>1242</v>
      </c>
      <c r="I229" s="1745" t="s">
        <v>1243</v>
      </c>
      <c r="J229" s="1623"/>
    </row>
    <row r="230" spans="2:10" ht="43.5" customHeight="1">
      <c r="B230" s="1312" t="s">
        <v>1244</v>
      </c>
      <c r="C230" s="1313"/>
      <c r="D230" s="1313"/>
      <c r="E230" s="1314"/>
      <c r="F230" s="1315">
        <v>0.2</v>
      </c>
      <c r="G230" s="1316">
        <f>H227*1.2</f>
        <v>27.059999999999995</v>
      </c>
      <c r="H230" s="1317" t="s">
        <v>1245</v>
      </c>
      <c r="I230" s="1685"/>
      <c r="J230" s="1608"/>
    </row>
    <row r="231" spans="2:10" ht="31.5" customHeight="1">
      <c r="B231" s="1748" t="s">
        <v>1246</v>
      </c>
      <c r="C231" s="1749"/>
      <c r="D231" s="1750"/>
      <c r="E231" s="1318" t="s">
        <v>363</v>
      </c>
      <c r="F231" s="1315">
        <v>1.2</v>
      </c>
      <c r="G231" s="1319">
        <f t="shared" ref="G231:G234" si="11">F231*$G$230</f>
        <v>32.471999999999994</v>
      </c>
      <c r="H231" s="1320">
        <v>0</v>
      </c>
      <c r="I231" s="1321"/>
      <c r="J231" s="1322">
        <f t="shared" ref="J231:J234" si="12">G231*H231</f>
        <v>0</v>
      </c>
    </row>
    <row r="232" spans="2:10" ht="31.5" customHeight="1">
      <c r="B232" s="1684"/>
      <c r="C232" s="1419"/>
      <c r="D232" s="1539"/>
      <c r="E232" s="1318" t="s">
        <v>1247</v>
      </c>
      <c r="F232" s="1315">
        <v>1.8</v>
      </c>
      <c r="G232" s="1319">
        <f t="shared" si="11"/>
        <v>48.707999999999991</v>
      </c>
      <c r="H232" s="1320">
        <v>0</v>
      </c>
      <c r="I232" s="1321"/>
      <c r="J232" s="1322">
        <f t="shared" si="12"/>
        <v>0</v>
      </c>
    </row>
    <row r="233" spans="2:10" ht="31.5" customHeight="1">
      <c r="B233" s="1684"/>
      <c r="C233" s="1419"/>
      <c r="D233" s="1539"/>
      <c r="E233" s="1318" t="s">
        <v>1248</v>
      </c>
      <c r="F233" s="1315">
        <v>1.5</v>
      </c>
      <c r="G233" s="1319">
        <f t="shared" si="11"/>
        <v>40.589999999999989</v>
      </c>
      <c r="H233" s="1320">
        <v>0</v>
      </c>
      <c r="I233" s="1321"/>
      <c r="J233" s="1322">
        <f t="shared" si="12"/>
        <v>0</v>
      </c>
    </row>
    <row r="234" spans="2:10" ht="31.5" customHeight="1">
      <c r="B234" s="1685"/>
      <c r="C234" s="1575"/>
      <c r="D234" s="1608"/>
      <c r="E234" s="1318" t="s">
        <v>1249</v>
      </c>
      <c r="F234" s="1315">
        <v>2</v>
      </c>
      <c r="G234" s="1319">
        <f t="shared" si="11"/>
        <v>54.11999999999999</v>
      </c>
      <c r="H234" s="1320">
        <v>0</v>
      </c>
      <c r="I234" s="1321"/>
      <c r="J234" s="1322">
        <f t="shared" si="12"/>
        <v>0</v>
      </c>
    </row>
    <row r="235" spans="2:10" ht="31.5" customHeight="1">
      <c r="B235" s="458"/>
      <c r="C235" s="458"/>
      <c r="D235" s="458"/>
      <c r="E235" s="458"/>
      <c r="F235" s="458"/>
      <c r="G235" s="458"/>
      <c r="H235" s="458"/>
      <c r="I235" s="1291"/>
      <c r="J235" s="1323">
        <f>SUM(J231:J234)</f>
        <v>0</v>
      </c>
    </row>
    <row r="236" spans="2:10" ht="15" customHeight="1">
      <c r="B236" s="458"/>
      <c r="C236" s="458"/>
      <c r="D236" s="458"/>
      <c r="E236" s="458"/>
      <c r="F236" s="458"/>
      <c r="G236" s="458"/>
      <c r="H236" s="458"/>
      <c r="I236" s="1291"/>
      <c r="J236" s="1291"/>
    </row>
    <row r="237" spans="2:10" ht="31.5" customHeight="1">
      <c r="B237" s="1324" t="s">
        <v>559</v>
      </c>
      <c r="C237" s="1325" t="s">
        <v>560</v>
      </c>
      <c r="D237" s="1326" t="s">
        <v>1250</v>
      </c>
      <c r="E237" s="1324" t="s">
        <v>562</v>
      </c>
      <c r="F237" s="1326" t="s">
        <v>1251</v>
      </c>
      <c r="G237" s="1324" t="s">
        <v>1252</v>
      </c>
      <c r="H237" s="1326" t="s">
        <v>1253</v>
      </c>
      <c r="I237" s="1327"/>
      <c r="J237" s="1328"/>
    </row>
    <row r="238" spans="2:10" ht="61.5" customHeight="1">
      <c r="B238" s="1329" t="s">
        <v>1254</v>
      </c>
      <c r="C238" s="1330" t="s">
        <v>567</v>
      </c>
      <c r="D238" s="1331">
        <v>381.14</v>
      </c>
      <c r="E238" s="1332" t="s">
        <v>568</v>
      </c>
      <c r="F238" s="1333">
        <v>341.02</v>
      </c>
      <c r="G238" s="1334" t="s">
        <v>569</v>
      </c>
      <c r="H238" s="1335">
        <v>300.89999999999998</v>
      </c>
      <c r="I238" s="1336"/>
      <c r="J238" s="1337">
        <v>0</v>
      </c>
    </row>
    <row r="239" spans="2:10" ht="31.5" customHeight="1">
      <c r="B239" s="458"/>
      <c r="C239" s="458"/>
      <c r="D239" s="458"/>
      <c r="E239" s="458"/>
      <c r="F239" s="458"/>
      <c r="G239" s="458"/>
      <c r="H239" s="458"/>
      <c r="I239" s="1291"/>
      <c r="J239" s="1291"/>
    </row>
    <row r="240" spans="2:10" ht="50.25" customHeight="1">
      <c r="B240" s="1751" t="s">
        <v>1255</v>
      </c>
      <c r="C240" s="1477"/>
      <c r="D240" s="1477"/>
      <c r="E240" s="1477"/>
      <c r="F240" s="1477"/>
      <c r="G240" s="1478"/>
      <c r="H240" s="1338">
        <f>I45</f>
        <v>0</v>
      </c>
      <c r="I240" s="1697">
        <f>I207+J231+J232+J233+J234+J238</f>
        <v>0</v>
      </c>
      <c r="J240" s="1478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7">
    <mergeCell ref="B67:J67"/>
    <mergeCell ref="C97:I97"/>
    <mergeCell ref="C98:H98"/>
    <mergeCell ref="C99:G99"/>
    <mergeCell ref="C100:G100"/>
    <mergeCell ref="C101:I101"/>
    <mergeCell ref="C102:I102"/>
    <mergeCell ref="C103:I103"/>
    <mergeCell ref="C162:H162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B90:J90"/>
    <mergeCell ref="C91:I91"/>
    <mergeCell ref="C92:H92"/>
    <mergeCell ref="C93:H93"/>
    <mergeCell ref="C94:H94"/>
    <mergeCell ref="C95:G95"/>
    <mergeCell ref="C96:G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C71:H71"/>
    <mergeCell ref="B72:I72"/>
    <mergeCell ref="B73:J73"/>
    <mergeCell ref="B74:J74"/>
    <mergeCell ref="B75:J75"/>
    <mergeCell ref="B76:J76"/>
    <mergeCell ref="C77:H77"/>
    <mergeCell ref="C78:H78"/>
    <mergeCell ref="C79:H79"/>
    <mergeCell ref="C34:F34"/>
    <mergeCell ref="G34:H34"/>
    <mergeCell ref="I34:J34"/>
    <mergeCell ref="C35:F35"/>
    <mergeCell ref="G35:H35"/>
    <mergeCell ref="I35:J35"/>
    <mergeCell ref="B68:J68"/>
    <mergeCell ref="C69:I69"/>
    <mergeCell ref="C70:H70"/>
    <mergeCell ref="C47:F47"/>
    <mergeCell ref="C48:E48"/>
    <mergeCell ref="F48:H48"/>
    <mergeCell ref="C49:H49"/>
    <mergeCell ref="C50:F50"/>
    <mergeCell ref="G50:H50"/>
    <mergeCell ref="C51:H51"/>
    <mergeCell ref="C52:I52"/>
    <mergeCell ref="C53:I53"/>
    <mergeCell ref="C54:E54"/>
    <mergeCell ref="F54:H54"/>
    <mergeCell ref="C55:E55"/>
    <mergeCell ref="F55:H55"/>
    <mergeCell ref="C56:I56"/>
    <mergeCell ref="C57:I5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H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31:D234"/>
    <mergeCell ref="B240:G240"/>
    <mergeCell ref="I240:J240"/>
    <mergeCell ref="B210:J210"/>
    <mergeCell ref="B211:G211"/>
    <mergeCell ref="H211:J211"/>
    <mergeCell ref="B212:J212"/>
    <mergeCell ref="B213:G213"/>
    <mergeCell ref="H213:J213"/>
    <mergeCell ref="B214:J214"/>
    <mergeCell ref="I204:J204"/>
    <mergeCell ref="I205:J205"/>
    <mergeCell ref="I206:J206"/>
    <mergeCell ref="I207:J207"/>
    <mergeCell ref="I229:J230"/>
    <mergeCell ref="B201:E201"/>
    <mergeCell ref="B202:E202"/>
    <mergeCell ref="F202:G202"/>
    <mergeCell ref="I202:J202"/>
    <mergeCell ref="B203:E203"/>
    <mergeCell ref="B204:E204"/>
    <mergeCell ref="F204:G204"/>
    <mergeCell ref="B205:E205"/>
    <mergeCell ref="F205:G205"/>
    <mergeCell ref="B206:E206"/>
    <mergeCell ref="F206:G206"/>
    <mergeCell ref="B207:G207"/>
    <mergeCell ref="B208:J208"/>
    <mergeCell ref="B209:J209"/>
    <mergeCell ref="B215:G215"/>
    <mergeCell ref="H215:J215"/>
    <mergeCell ref="B216:J216"/>
    <mergeCell ref="B218:J218"/>
    <mergeCell ref="B220:D220"/>
    <mergeCell ref="C188:I188"/>
    <mergeCell ref="B196:J196"/>
    <mergeCell ref="B197:J197"/>
    <mergeCell ref="B199:J199"/>
    <mergeCell ref="B200:E200"/>
    <mergeCell ref="I200:J200"/>
    <mergeCell ref="F201:G201"/>
    <mergeCell ref="I201:J201"/>
    <mergeCell ref="I203:J203"/>
    <mergeCell ref="C192:I192"/>
    <mergeCell ref="B193:I193"/>
    <mergeCell ref="C194:I194"/>
    <mergeCell ref="B195:I19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8" priority="2" operator="equal">
      <formula>0</formula>
    </cfRule>
  </conditionalFormatting>
  <conditionalFormatting sqref="I121">
    <cfRule type="cellIs" dxfId="7" priority="1" operator="notEqual">
      <formula>"OK"</formula>
    </cfRule>
  </conditionalFormatting>
  <conditionalFormatting sqref="J133">
    <cfRule type="cellIs" dxfId="6" priority="4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A5A5A5"/>
  </sheetPr>
  <dimension ref="A1:Q975"/>
  <sheetViews>
    <sheetView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20.08984375" customWidth="1"/>
    <col min="4" max="4" width="17.26953125" customWidth="1"/>
    <col min="5" max="5" width="24.7265625" customWidth="1"/>
    <col min="6" max="6" width="25.453125" customWidth="1"/>
    <col min="7" max="7" width="21.453125" customWidth="1"/>
    <col min="8" max="8" width="24" customWidth="1"/>
    <col min="9" max="9" width="19.81640625" customWidth="1"/>
    <col min="10" max="10" width="28.54296875" customWidth="1"/>
    <col min="11" max="11" width="4.453125" customWidth="1"/>
  </cols>
  <sheetData>
    <row r="1" spans="1:11" ht="11.25" customHeight="1">
      <c r="A1" s="1031"/>
      <c r="B1" s="1032" t="s">
        <v>308</v>
      </c>
      <c r="C1" s="1033"/>
      <c r="D1" s="1033"/>
      <c r="E1" s="1033"/>
      <c r="F1" s="1033"/>
      <c r="G1" s="1033"/>
      <c r="H1" s="1033"/>
      <c r="I1" s="1033"/>
      <c r="J1" s="1033"/>
      <c r="K1" s="1031"/>
    </row>
    <row r="2" spans="1:11" ht="16.5" customHeight="1">
      <c r="A2" s="1031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</row>
    <row r="3" spans="1:11" ht="30.75" customHeight="1">
      <c r="A3" s="1031"/>
      <c r="B3" s="1737" t="str">
        <f>'1-ABA-DE-CARREGAMENTO'!K33</f>
        <v>NAO TEM MAIS POSTO 66</v>
      </c>
      <c r="C3" s="1575"/>
      <c r="D3" s="1575"/>
      <c r="E3" s="1575"/>
      <c r="F3" s="1575"/>
      <c r="G3" s="1575"/>
      <c r="H3" s="1575"/>
      <c r="I3" s="1575"/>
      <c r="J3" s="1608"/>
      <c r="K3" s="720"/>
    </row>
    <row r="4" spans="1:11" ht="11.25" customHeight="1">
      <c r="A4" s="1031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</row>
    <row r="5" spans="1:11" ht="11.25" customHeight="1">
      <c r="A5" s="1031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</row>
    <row r="6" spans="1:11" ht="11.25" customHeight="1">
      <c r="A6" s="1031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</row>
    <row r="7" spans="1:11" ht="11.25" customHeight="1">
      <c r="A7" s="1031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</row>
    <row r="8" spans="1:11" ht="11.25" customHeight="1">
      <c r="A8" s="1031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</row>
    <row r="9" spans="1:11" ht="11.25" customHeight="1">
      <c r="A9" s="1031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</row>
    <row r="10" spans="1:11" ht="11.25" customHeight="1">
      <c r="A10" s="1031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'1-ABA-DE-CARREGAMENTO'!K35</f>
        <v>RS004627/2024</v>
      </c>
      <c r="J10" s="1478"/>
      <c r="K10" s="721"/>
    </row>
    <row r="11" spans="1:11" ht="11.25" customHeight="1">
      <c r="A11" s="1031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'1-ABA-DE-CARREGAMENTO'!K94</f>
        <v>30</v>
      </c>
      <c r="J11" s="1478"/>
      <c r="K11" s="721"/>
    </row>
    <row r="12" spans="1:11" ht="11.25" customHeight="1">
      <c r="A12" s="1031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</row>
    <row r="13" spans="1:11" ht="42" customHeight="1">
      <c r="A13" s="1031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</row>
    <row r="14" spans="1:11" ht="11.25" hidden="1" customHeight="1" outlineLevel="1">
      <c r="A14" s="1031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</row>
    <row r="15" spans="1:11" ht="11.25" hidden="1" customHeight="1" outlineLevel="1">
      <c r="A15" s="1031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</row>
    <row r="16" spans="1:11" ht="11.25" hidden="1" customHeight="1" outlineLevel="1">
      <c r="A16" s="1031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</row>
    <row r="17" spans="1:11" ht="11.25" customHeight="1" collapsed="1">
      <c r="A17" s="1031"/>
      <c r="B17" s="1611" t="str">
        <f>B3</f>
        <v>NAO TEM MAIS POSTO 66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'1-ABA-DE-CARREGAMENTO'!K92</f>
        <v>0</v>
      </c>
      <c r="J17" s="1478"/>
      <c r="K17" s="728"/>
    </row>
    <row r="18" spans="1:11" ht="11.25" hidden="1" customHeight="1" outlineLevel="1">
      <c r="A18" s="1031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</row>
    <row r="19" spans="1:11" ht="11.25" hidden="1" customHeight="1" outlineLevel="1">
      <c r="A19" s="1031"/>
      <c r="B19" s="1611" t="s">
        <v>1256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</row>
    <row r="20" spans="1:11" ht="11.25" customHeight="1" collapsed="1">
      <c r="A20" s="1031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0</v>
      </c>
      <c r="J20" s="1478"/>
      <c r="K20" s="729"/>
    </row>
    <row r="21" spans="1:11" ht="11.25" customHeight="1">
      <c r="A21" s="1031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</row>
    <row r="22" spans="1:11" ht="11.25" customHeight="1">
      <c r="A22" s="1031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</row>
    <row r="23" spans="1:11" ht="11.25" customHeight="1">
      <c r="A23" s="1031"/>
      <c r="B23" s="1618"/>
      <c r="C23" s="1477"/>
      <c r="D23" s="1477"/>
      <c r="E23" s="1477"/>
      <c r="F23" s="1477"/>
      <c r="G23" s="1477"/>
      <c r="H23" s="1477"/>
      <c r="I23" s="1477"/>
      <c r="J23" s="1478"/>
      <c r="K23" s="459"/>
    </row>
    <row r="24" spans="1:11" ht="15" customHeight="1">
      <c r="A24" s="1031"/>
      <c r="B24" s="1726" t="s">
        <v>1257</v>
      </c>
      <c r="C24" s="1477"/>
      <c r="D24" s="1477"/>
      <c r="E24" s="1477"/>
      <c r="F24" s="1477"/>
      <c r="G24" s="1477"/>
      <c r="H24" s="1477"/>
      <c r="I24" s="1477"/>
      <c r="J24" s="1478"/>
      <c r="K24" s="1034"/>
    </row>
    <row r="25" spans="1:11" ht="15" customHeight="1">
      <c r="A25" s="1031"/>
      <c r="B25" s="1727"/>
      <c r="C25" s="1477"/>
      <c r="D25" s="1477"/>
      <c r="E25" s="1477"/>
      <c r="F25" s="1477"/>
      <c r="G25" s="1477"/>
      <c r="H25" s="1477"/>
      <c r="I25" s="1477"/>
      <c r="J25" s="1478"/>
      <c r="K25" s="1035"/>
    </row>
    <row r="26" spans="1:11" ht="11.2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</row>
    <row r="27" spans="1:11" ht="29.25" customHeight="1">
      <c r="A27" s="1031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'1-ABA-DE-CARREGAMENTO'!K33</f>
        <v>NAO TEM MAIS POSTO 66</v>
      </c>
      <c r="J27" s="1478"/>
      <c r="K27" s="732"/>
    </row>
    <row r="28" spans="1:11" ht="18.75" customHeight="1">
      <c r="A28" s="1031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624" t="str">
        <f>LEFT(I27,7)</f>
        <v>NAO TEM</v>
      </c>
      <c r="J28" s="1478"/>
      <c r="K28" s="734"/>
    </row>
    <row r="29" spans="1:11" ht="28.5" customHeight="1">
      <c r="A29" s="1031"/>
      <c r="B29" s="696">
        <v>3</v>
      </c>
      <c r="C29" s="1625" t="s">
        <v>336</v>
      </c>
      <c r="D29" s="1468"/>
      <c r="E29" s="1036">
        <v>220</v>
      </c>
      <c r="F29" s="737">
        <f>'1-ABA-DE-CARREGAMENTO'!K37</f>
        <v>2925.11</v>
      </c>
      <c r="G29" s="722" t="s">
        <v>1171</v>
      </c>
      <c r="H29" s="1276">
        <f>'1-ABA-DE-CARREGAMENTO'!K52</f>
        <v>220</v>
      </c>
      <c r="I29" s="1626">
        <f>F29/E29*H29</f>
        <v>2925.11</v>
      </c>
      <c r="J29" s="1478"/>
      <c r="K29" s="1037"/>
    </row>
    <row r="30" spans="1:11" ht="11.25" customHeight="1">
      <c r="A30" s="1031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</row>
    <row r="31" spans="1:11" ht="11.25" customHeight="1">
      <c r="A31" s="1031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'1-ABA-DE-CARREGAMENTO'!K36</f>
        <v>01 de JUNHO</v>
      </c>
      <c r="J31" s="1478"/>
      <c r="K31" s="742"/>
    </row>
    <row r="32" spans="1:11" ht="27" customHeight="1">
      <c r="A32" s="1031"/>
      <c r="B32" s="1038">
        <v>6</v>
      </c>
      <c r="C32" s="1560" t="s">
        <v>1258</v>
      </c>
      <c r="D32" s="1477"/>
      <c r="E32" s="1477"/>
      <c r="F32" s="1477"/>
      <c r="G32" s="1477"/>
      <c r="H32" s="1478"/>
      <c r="I32" s="1630">
        <f>ROUND(I29/220,2)</f>
        <v>13.3</v>
      </c>
      <c r="J32" s="1478"/>
      <c r="K32" s="744"/>
    </row>
    <row r="33" spans="1:11" ht="27" customHeight="1">
      <c r="A33" s="1031"/>
      <c r="B33" s="1038">
        <v>7</v>
      </c>
      <c r="C33" s="1560" t="s">
        <v>1259</v>
      </c>
      <c r="D33" s="1477"/>
      <c r="E33" s="1477"/>
      <c r="F33" s="1478"/>
      <c r="G33" s="1631"/>
      <c r="H33" s="1478"/>
      <c r="I33" s="1630">
        <f>SUM(J47:J50)/220</f>
        <v>13.295954545454546</v>
      </c>
      <c r="J33" s="1478"/>
      <c r="K33" s="744"/>
    </row>
    <row r="34" spans="1:11" ht="27" customHeight="1">
      <c r="A34" s="1031"/>
      <c r="B34" s="1038">
        <v>8</v>
      </c>
      <c r="C34" s="1560" t="s">
        <v>1260</v>
      </c>
      <c r="D34" s="1477"/>
      <c r="E34" s="1477"/>
      <c r="F34" s="1478"/>
      <c r="G34" s="1631"/>
      <c r="H34" s="1478"/>
      <c r="I34" s="1630">
        <f>TRUNC(I33*1.5,2)*0</f>
        <v>0</v>
      </c>
      <c r="J34" s="1478"/>
      <c r="K34" s="744"/>
    </row>
    <row r="35" spans="1:11" ht="27" customHeight="1">
      <c r="A35" s="1031"/>
      <c r="B35" s="1038">
        <v>9</v>
      </c>
      <c r="C35" s="1560" t="s">
        <v>1261</v>
      </c>
      <c r="D35" s="1477"/>
      <c r="E35" s="1477"/>
      <c r="F35" s="1478"/>
      <c r="G35" s="1631" t="s">
        <v>344</v>
      </c>
      <c r="H35" s="1478"/>
      <c r="I35" s="1753">
        <f>I33*1.5</f>
        <v>19.943931818181817</v>
      </c>
      <c r="J35" s="1478"/>
      <c r="K35" s="1039"/>
    </row>
    <row r="36" spans="1:11" ht="27" customHeight="1">
      <c r="A36" s="1031"/>
      <c r="B36" s="1038">
        <v>10</v>
      </c>
      <c r="C36" s="1560" t="s">
        <v>1262</v>
      </c>
      <c r="D36" s="1477"/>
      <c r="E36" s="1477"/>
      <c r="F36" s="1477"/>
      <c r="G36" s="1477"/>
      <c r="H36" s="1478"/>
      <c r="I36" s="1630">
        <f>TRUNC(I32*0.2,2)+I32</f>
        <v>15.96</v>
      </c>
      <c r="J36" s="1478"/>
      <c r="K36" s="744"/>
    </row>
    <row r="37" spans="1:11" ht="27" customHeight="1">
      <c r="A37" s="1031"/>
      <c r="B37" s="1038">
        <v>11</v>
      </c>
      <c r="C37" s="1560" t="s">
        <v>1263</v>
      </c>
      <c r="D37" s="1477"/>
      <c r="E37" s="1477"/>
      <c r="F37" s="1477"/>
      <c r="G37" s="1477"/>
      <c r="H37" s="1478"/>
      <c r="I37" s="1630">
        <f>I33*2</f>
        <v>26.591909090909091</v>
      </c>
      <c r="J37" s="1478"/>
      <c r="K37" s="744"/>
    </row>
    <row r="38" spans="1:11" ht="14.25" customHeight="1">
      <c r="A38" s="1031"/>
      <c r="B38" s="1038">
        <v>12</v>
      </c>
      <c r="C38" s="1560" t="s">
        <v>1264</v>
      </c>
      <c r="D38" s="1477"/>
      <c r="E38" s="1477"/>
      <c r="F38" s="1477"/>
      <c r="G38" s="1477"/>
      <c r="H38" s="1478"/>
      <c r="I38" s="1630">
        <f>I29*'1-ABA-DE-CARREGAMENTO'!D44</f>
        <v>0</v>
      </c>
      <c r="J38" s="1478"/>
      <c r="K38" s="744"/>
    </row>
    <row r="39" spans="1:11" ht="14.25" customHeight="1">
      <c r="A39" s="1031"/>
      <c r="B39" s="1038">
        <v>13</v>
      </c>
      <c r="C39" s="1560" t="s">
        <v>348</v>
      </c>
      <c r="D39" s="1477"/>
      <c r="E39" s="1477"/>
      <c r="F39" s="1477"/>
      <c r="G39" s="1477"/>
      <c r="H39" s="1478"/>
      <c r="I39" s="1630">
        <f>ROUND(I32/6,2)*1.3</f>
        <v>2.8860000000000006</v>
      </c>
      <c r="J39" s="1478"/>
      <c r="K39" s="744"/>
    </row>
    <row r="40" spans="1:11" ht="26.25" customHeight="1">
      <c r="A40" s="1031"/>
      <c r="B40" s="746">
        <v>14</v>
      </c>
      <c r="C40" s="1646" t="s">
        <v>349</v>
      </c>
      <c r="D40" s="1647"/>
      <c r="E40" s="1647"/>
      <c r="F40" s="1647"/>
      <c r="G40" s="1647"/>
      <c r="H40" s="1648"/>
      <c r="I40" s="1649">
        <f>'1-ABA-DE-CARREGAMENTO'!K93</f>
        <v>1</v>
      </c>
      <c r="J40" s="1650"/>
      <c r="K40" s="1040"/>
    </row>
    <row r="41" spans="1:11" ht="11.25" customHeight="1">
      <c r="A41" s="1031"/>
      <c r="B41" s="1038">
        <v>15</v>
      </c>
      <c r="C41" s="1651" t="s">
        <v>350</v>
      </c>
      <c r="D41" s="1575"/>
      <c r="E41" s="1575"/>
      <c r="F41" s="1575"/>
      <c r="G41" s="1575"/>
      <c r="H41" s="1608"/>
      <c r="I41" s="1714">
        <f>'1-ABA-DE-CARREGAMENTO'!E42</f>
        <v>1621</v>
      </c>
      <c r="J41" s="1478"/>
      <c r="K41" s="749"/>
    </row>
    <row r="42" spans="1:11" ht="11.25" customHeight="1">
      <c r="A42" s="1031"/>
      <c r="B42" s="1618"/>
      <c r="C42" s="1477"/>
      <c r="D42" s="1477"/>
      <c r="E42" s="1477"/>
      <c r="F42" s="1477"/>
      <c r="G42" s="1477"/>
      <c r="H42" s="1477"/>
      <c r="I42" s="1477"/>
      <c r="J42" s="1478"/>
      <c r="K42" s="459"/>
    </row>
    <row r="43" spans="1:11" ht="24" customHeight="1">
      <c r="A43" s="1031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</row>
    <row r="44" spans="1:11" ht="14.25" customHeight="1">
      <c r="A44" s="1031"/>
      <c r="B44" s="1728"/>
      <c r="C44" s="1477"/>
      <c r="D44" s="1477"/>
      <c r="E44" s="1477"/>
      <c r="F44" s="1477"/>
      <c r="G44" s="1477"/>
      <c r="H44" s="1477"/>
      <c r="I44" s="1477"/>
      <c r="J44" s="1478"/>
      <c r="K44" s="1041"/>
    </row>
    <row r="45" spans="1:11" ht="16.5" customHeight="1">
      <c r="A45" s="1031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</row>
    <row r="46" spans="1:11" ht="30" customHeight="1">
      <c r="A46" s="104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/>
      <c r="J46" s="753" t="s">
        <v>355</v>
      </c>
      <c r="K46" s="727"/>
    </row>
    <row r="47" spans="1:11" ht="14.25" customHeight="1">
      <c r="A47" s="1031"/>
      <c r="B47" s="696" t="s">
        <v>312</v>
      </c>
      <c r="C47" s="1577" t="s">
        <v>1041</v>
      </c>
      <c r="D47" s="1477"/>
      <c r="E47" s="1477"/>
      <c r="F47" s="1478"/>
      <c r="G47" s="755" t="s">
        <v>52</v>
      </c>
      <c r="H47" s="756">
        <f>'1-ABA-DE-CARREGAMENTO'!K52</f>
        <v>220</v>
      </c>
      <c r="I47" s="755"/>
      <c r="J47" s="758">
        <f>I29*I40</f>
        <v>2925.11</v>
      </c>
      <c r="K47" s="1043"/>
    </row>
    <row r="48" spans="1:11" ht="17.25" customHeight="1">
      <c r="A48" s="1031"/>
      <c r="B48" s="696" t="s">
        <v>314</v>
      </c>
      <c r="C48" s="1577" t="s">
        <v>1179</v>
      </c>
      <c r="D48" s="1477"/>
      <c r="E48" s="1477"/>
      <c r="F48" s="1654" t="str">
        <f>'1-ABA-DE-CARREGAMENTO'!K38</f>
        <v>SEM ADICIONAL DE FUNÇÃO</v>
      </c>
      <c r="G48" s="1477"/>
      <c r="H48" s="1478"/>
      <c r="I48" s="994">
        <f>'1-ABA-DE-CARREGAMENTO'!K39</f>
        <v>0</v>
      </c>
      <c r="J48" s="758">
        <f>J47*I48</f>
        <v>0</v>
      </c>
      <c r="K48" s="1043"/>
    </row>
    <row r="49" spans="1:14" ht="27" customHeight="1">
      <c r="A49" s="1031"/>
      <c r="B49" s="696" t="s">
        <v>316</v>
      </c>
      <c r="C49" s="1577" t="s">
        <v>1265</v>
      </c>
      <c r="D49" s="1477"/>
      <c r="E49" s="1477"/>
      <c r="F49" s="1654"/>
      <c r="G49" s="1477"/>
      <c r="H49" s="1478"/>
      <c r="I49" s="1339">
        <f>'1-ABA-DE-CARREGAMENTO'!K44</f>
        <v>0</v>
      </c>
      <c r="J49" s="758">
        <f>ROUND(J47*I49,2)</f>
        <v>0</v>
      </c>
      <c r="K49" s="1043"/>
    </row>
    <row r="50" spans="1:14" ht="14.25" customHeight="1">
      <c r="A50" s="1031"/>
      <c r="B50" s="696" t="s">
        <v>318</v>
      </c>
      <c r="C50" s="1759" t="s">
        <v>1266</v>
      </c>
      <c r="D50" s="1481"/>
      <c r="E50" s="1481"/>
      <c r="F50" s="1481"/>
      <c r="G50" s="1760" t="str">
        <f>'1-ABA-DE-CARREGAMENTO'!K40</f>
        <v>SEM ADICIONAL DE RISCO</v>
      </c>
      <c r="H50" s="1477"/>
      <c r="I50" s="1073">
        <f>'1-ABA-DE-CARREGAMENTO'!K41</f>
        <v>0</v>
      </c>
      <c r="J50" s="1045">
        <f>ROUND(I50*I41,2)</f>
        <v>0</v>
      </c>
      <c r="K50" s="1043"/>
    </row>
    <row r="51" spans="1:14" ht="48" customHeight="1">
      <c r="A51" s="1031"/>
      <c r="B51" s="1341" t="s">
        <v>360</v>
      </c>
      <c r="C51" s="1761" t="s">
        <v>136</v>
      </c>
      <c r="D51" s="1477"/>
      <c r="E51" s="1342">
        <v>0</v>
      </c>
      <c r="F51" s="1343" t="s">
        <v>1267</v>
      </c>
      <c r="G51" s="1344">
        <f t="shared" ref="G51:G52" si="0">E51</f>
        <v>0</v>
      </c>
      <c r="H51" s="1345" t="s">
        <v>1268</v>
      </c>
      <c r="I51" s="1344">
        <f>I35</f>
        <v>19.943931818181817</v>
      </c>
      <c r="J51" s="1028">
        <f t="shared" ref="J51:J55" si="1">I51*G51</f>
        <v>0</v>
      </c>
      <c r="K51" s="1043"/>
      <c r="L51" s="1346"/>
    </row>
    <row r="52" spans="1:14" ht="50.25" customHeight="1">
      <c r="A52" s="1031"/>
      <c r="B52" s="1341" t="s">
        <v>364</v>
      </c>
      <c r="C52" s="1761" t="s">
        <v>1269</v>
      </c>
      <c r="D52" s="1477"/>
      <c r="E52" s="1342">
        <v>0</v>
      </c>
      <c r="F52" s="1343" t="s">
        <v>1270</v>
      </c>
      <c r="G52" s="1344">
        <f t="shared" si="0"/>
        <v>0</v>
      </c>
      <c r="H52" s="1345" t="s">
        <v>1271</v>
      </c>
      <c r="I52" s="1344">
        <f>I37</f>
        <v>26.591909090909091</v>
      </c>
      <c r="J52" s="1028">
        <f t="shared" si="1"/>
        <v>0</v>
      </c>
      <c r="K52" s="1043"/>
    </row>
    <row r="53" spans="1:14" ht="50.25" customHeight="1">
      <c r="A53" s="1031"/>
      <c r="B53" s="695" t="s">
        <v>366</v>
      </c>
      <c r="C53" s="1761" t="s">
        <v>1272</v>
      </c>
      <c r="D53" s="1477"/>
      <c r="E53" s="1342">
        <v>0</v>
      </c>
      <c r="F53" s="1343" t="s">
        <v>1273</v>
      </c>
      <c r="G53" s="1347">
        <f>E53*1.142857</f>
        <v>0</v>
      </c>
      <c r="H53" s="1345" t="s">
        <v>1274</v>
      </c>
      <c r="I53" s="1348">
        <f>I36*1.5</f>
        <v>23.94</v>
      </c>
      <c r="J53" s="1028">
        <f t="shared" si="1"/>
        <v>0</v>
      </c>
      <c r="K53" s="1043"/>
    </row>
    <row r="54" spans="1:14" ht="42" customHeight="1">
      <c r="A54" s="1031"/>
      <c r="B54" s="694" t="s">
        <v>368</v>
      </c>
      <c r="C54" s="1761" t="s">
        <v>139</v>
      </c>
      <c r="D54" s="1477"/>
      <c r="E54" s="1342">
        <v>0</v>
      </c>
      <c r="F54" s="1343" t="s">
        <v>1275</v>
      </c>
      <c r="G54" s="1344">
        <f t="shared" ref="G54:G55" si="2">E54</f>
        <v>0</v>
      </c>
      <c r="H54" s="1345" t="s">
        <v>1276</v>
      </c>
      <c r="I54" s="1349">
        <f>I36</f>
        <v>15.96</v>
      </c>
      <c r="J54" s="1028">
        <f t="shared" si="1"/>
        <v>0</v>
      </c>
      <c r="K54" s="1043"/>
    </row>
    <row r="55" spans="1:14" ht="42" customHeight="1">
      <c r="A55" s="1031"/>
      <c r="B55" s="694" t="s">
        <v>372</v>
      </c>
      <c r="C55" s="1761" t="s">
        <v>1277</v>
      </c>
      <c r="D55" s="1477"/>
      <c r="E55" s="1342">
        <v>0</v>
      </c>
      <c r="F55" s="1343" t="s">
        <v>1278</v>
      </c>
      <c r="G55" s="1344">
        <f t="shared" si="2"/>
        <v>0</v>
      </c>
      <c r="H55" s="1345" t="s">
        <v>1276</v>
      </c>
      <c r="I55" s="1350">
        <f>I53</f>
        <v>23.94</v>
      </c>
      <c r="J55" s="1028">
        <f t="shared" si="1"/>
        <v>0</v>
      </c>
      <c r="K55" s="1043"/>
    </row>
    <row r="56" spans="1:14" ht="39" customHeight="1">
      <c r="A56" s="1031"/>
      <c r="B56" s="696" t="s">
        <v>376</v>
      </c>
      <c r="C56" s="1577" t="s">
        <v>1279</v>
      </c>
      <c r="D56" s="1477"/>
      <c r="E56" s="1477"/>
      <c r="F56" s="1477"/>
      <c r="G56" s="1477"/>
      <c r="H56" s="1477"/>
      <c r="I56" s="1478"/>
      <c r="J56" s="758">
        <f>(J51+J52+J53+J54+J55)*0.2</f>
        <v>0</v>
      </c>
      <c r="K56" s="1043"/>
    </row>
    <row r="57" spans="1:14" ht="21.75" customHeight="1">
      <c r="A57" s="1031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1046"/>
    </row>
    <row r="58" spans="1:14" ht="16.5" customHeight="1">
      <c r="A58" s="1031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2925.11</v>
      </c>
      <c r="K58" s="1047"/>
    </row>
    <row r="59" spans="1:14" ht="10.5" customHeight="1">
      <c r="A59" s="1031"/>
      <c r="B59" s="773"/>
      <c r="C59" s="1657"/>
      <c r="D59" s="1477"/>
      <c r="E59" s="1477"/>
      <c r="F59" s="1477"/>
      <c r="G59" s="1477"/>
      <c r="H59" s="1477"/>
      <c r="I59" s="1478"/>
      <c r="J59" s="774"/>
      <c r="K59" s="1047"/>
    </row>
    <row r="60" spans="1:14" ht="26.25" customHeight="1">
      <c r="A60" s="1031"/>
      <c r="B60" s="696" t="s">
        <v>368</v>
      </c>
      <c r="C60" s="1732" t="s">
        <v>1280</v>
      </c>
      <c r="D60" s="1477"/>
      <c r="E60" s="1477"/>
      <c r="F60" s="1477"/>
      <c r="G60" s="1477"/>
      <c r="H60" s="1477"/>
      <c r="I60" s="1478"/>
      <c r="J60" s="1028">
        <f>ROUND(I34*15*I40*0.5,2)*0</f>
        <v>0</v>
      </c>
      <c r="K60" s="1074"/>
      <c r="L60" s="2"/>
      <c r="M60" s="2"/>
      <c r="N60" s="2"/>
    </row>
    <row r="61" spans="1:14" ht="16.5" customHeight="1">
      <c r="A61" s="1031"/>
      <c r="B61" s="1572" t="s">
        <v>1281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1047"/>
    </row>
    <row r="62" spans="1:14" ht="10.5" customHeight="1">
      <c r="A62" s="1031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</row>
    <row r="63" spans="1:14" ht="45.75" customHeight="1">
      <c r="A63" s="1031"/>
      <c r="B63" s="1578" t="s">
        <v>1282</v>
      </c>
      <c r="C63" s="1477"/>
      <c r="D63" s="1477"/>
      <c r="E63" s="1477"/>
      <c r="F63" s="1477"/>
      <c r="G63" s="1477"/>
      <c r="H63" s="1477"/>
      <c r="I63" s="1478"/>
      <c r="J63" s="775">
        <f>J58+J61</f>
        <v>2925.11</v>
      </c>
      <c r="K63" s="776"/>
    </row>
    <row r="64" spans="1:14" ht="9" customHeight="1">
      <c r="A64" s="1031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</row>
    <row r="65" spans="1:11" ht="16.5" customHeight="1">
      <c r="A65" s="1031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</row>
    <row r="66" spans="1:11" ht="9.75" customHeight="1">
      <c r="A66" s="1031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</row>
    <row r="67" spans="1:11" ht="16.5" customHeight="1">
      <c r="A67" s="1031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1048"/>
    </row>
    <row r="68" spans="1:11" ht="16.5" customHeight="1">
      <c r="A68" s="1031"/>
      <c r="B68" s="1580" t="s">
        <v>1283</v>
      </c>
      <c r="C68" s="1477"/>
      <c r="D68" s="1477"/>
      <c r="E68" s="1477"/>
      <c r="F68" s="1477"/>
      <c r="G68" s="1477"/>
      <c r="H68" s="1477"/>
      <c r="I68" s="1477"/>
      <c r="J68" s="1478"/>
      <c r="K68" s="931"/>
    </row>
    <row r="69" spans="1:11" ht="16.5" customHeight="1">
      <c r="A69" s="1031"/>
      <c r="B69" s="781" t="s">
        <v>388</v>
      </c>
      <c r="C69" s="1659" t="s">
        <v>1284</v>
      </c>
      <c r="D69" s="1477"/>
      <c r="E69" s="1477"/>
      <c r="F69" s="1477"/>
      <c r="G69" s="1477"/>
      <c r="H69" s="1477"/>
      <c r="I69" s="1478"/>
      <c r="J69" s="782" t="s">
        <v>390</v>
      </c>
      <c r="K69" s="783"/>
    </row>
    <row r="70" spans="1:11" ht="29.25" customHeight="1">
      <c r="A70" s="1031"/>
      <c r="B70" s="781" t="s">
        <v>312</v>
      </c>
      <c r="C70" s="1656" t="s">
        <v>1285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243.66</v>
      </c>
      <c r="K70" s="786"/>
    </row>
    <row r="71" spans="1:11" ht="66.75" customHeight="1">
      <c r="A71" s="1031"/>
      <c r="B71" s="781" t="s">
        <v>314</v>
      </c>
      <c r="C71" s="1582" t="s">
        <v>1286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88.48</v>
      </c>
      <c r="K71" s="786"/>
    </row>
    <row r="72" spans="1:11" ht="16.5" customHeight="1">
      <c r="A72" s="1031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332.14</v>
      </c>
      <c r="K72" s="1049"/>
    </row>
    <row r="73" spans="1:11" ht="8.25" customHeight="1">
      <c r="A73" s="1031"/>
      <c r="B73" s="1661"/>
      <c r="C73" s="1477"/>
      <c r="D73" s="1477"/>
      <c r="E73" s="1477"/>
      <c r="F73" s="1477"/>
      <c r="G73" s="1477"/>
      <c r="H73" s="1477"/>
      <c r="I73" s="1477"/>
      <c r="J73" s="1478"/>
      <c r="K73" s="1050"/>
    </row>
    <row r="74" spans="1:11" ht="13.5" customHeight="1">
      <c r="A74" s="1031"/>
      <c r="B74" s="1653" t="s">
        <v>1287</v>
      </c>
      <c r="C74" s="1477"/>
      <c r="D74" s="1477"/>
      <c r="E74" s="1477"/>
      <c r="F74" s="1477"/>
      <c r="G74" s="1477"/>
      <c r="H74" s="1477"/>
      <c r="I74" s="1477"/>
      <c r="J74" s="1478"/>
      <c r="K74" s="750"/>
    </row>
    <row r="75" spans="1:11" ht="9" customHeight="1">
      <c r="A75" s="1031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</row>
    <row r="76" spans="1:11" ht="16.5" customHeight="1">
      <c r="A76" s="1031"/>
      <c r="B76" s="1663" t="s">
        <v>1288</v>
      </c>
      <c r="C76" s="1477"/>
      <c r="D76" s="1477"/>
      <c r="E76" s="1477"/>
      <c r="F76" s="1477"/>
      <c r="G76" s="1477"/>
      <c r="H76" s="1477"/>
      <c r="I76" s="1477"/>
      <c r="J76" s="1478"/>
      <c r="K76" s="780"/>
    </row>
    <row r="77" spans="1:11" ht="16.5" customHeight="1">
      <c r="A77" s="1031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</row>
    <row r="78" spans="1:11" ht="16.5" customHeight="1">
      <c r="A78" s="1031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651.45000000000005</v>
      </c>
      <c r="K78" s="1049"/>
    </row>
    <row r="79" spans="1:11" ht="16.5" customHeight="1">
      <c r="A79" s="1031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81.430000000000007</v>
      </c>
      <c r="K79" s="1049"/>
    </row>
    <row r="80" spans="1:11" ht="45" customHeight="1">
      <c r="A80" s="1031"/>
      <c r="B80" s="794" t="s">
        <v>316</v>
      </c>
      <c r="C80" s="1577" t="s">
        <v>1289</v>
      </c>
      <c r="D80" s="1478"/>
      <c r="E80" s="1051" t="s">
        <v>402</v>
      </c>
      <c r="F80" s="1052">
        <f>'1-ABA-DE-CARREGAMENTO'!K57</f>
        <v>0</v>
      </c>
      <c r="G80" s="1051" t="s">
        <v>403</v>
      </c>
      <c r="H80" s="1053">
        <f>'1-ABA-DE-CARREGAMENTO'!K58</f>
        <v>1</v>
      </c>
      <c r="I80" s="799">
        <f>ROUND((F80*H80),6)</f>
        <v>0</v>
      </c>
      <c r="J80" s="796">
        <f>ROUND((J58+J72)*I80,2)</f>
        <v>0</v>
      </c>
      <c r="K80" s="1049"/>
    </row>
    <row r="81" spans="1:17" ht="16.5" customHeight="1">
      <c r="A81" s="1031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48.86</v>
      </c>
      <c r="K81" s="1049"/>
    </row>
    <row r="82" spans="1:17" ht="16.5" customHeight="1">
      <c r="A82" s="1031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32.57</v>
      </c>
      <c r="K82" s="1049"/>
    </row>
    <row r="83" spans="1:17" ht="16.5" customHeight="1">
      <c r="A83" s="1031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19.54</v>
      </c>
      <c r="K83" s="1049"/>
    </row>
    <row r="84" spans="1:17" ht="16.5" customHeight="1">
      <c r="A84" s="1031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6.51</v>
      </c>
      <c r="K84" s="1049"/>
    </row>
    <row r="85" spans="1:17" ht="16.5" customHeight="1">
      <c r="A85" s="1031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260.58</v>
      </c>
      <c r="K85" s="1049"/>
    </row>
    <row r="86" spans="1:17" ht="16.5" customHeight="1">
      <c r="A86" s="1031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3">SUM(I78:I85)</f>
        <v>0.33800000000000002</v>
      </c>
      <c r="J86" s="788">
        <f t="shared" si="3"/>
        <v>1100.94</v>
      </c>
      <c r="K86" s="1049"/>
    </row>
    <row r="87" spans="1:17" ht="12" customHeight="1">
      <c r="A87" s="1031"/>
      <c r="B87" s="801"/>
      <c r="C87" s="802"/>
      <c r="D87" s="802"/>
      <c r="E87" s="802"/>
      <c r="F87" s="802"/>
      <c r="G87" s="802"/>
      <c r="H87" s="802"/>
      <c r="I87" s="803"/>
      <c r="J87" s="804"/>
      <c r="K87" s="1049"/>
    </row>
    <row r="88" spans="1:17" ht="33" customHeight="1">
      <c r="A88" s="1031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</row>
    <row r="89" spans="1:17" ht="9" customHeight="1">
      <c r="A89" s="1031"/>
      <c r="B89" s="1618"/>
      <c r="C89" s="1477"/>
      <c r="D89" s="1477"/>
      <c r="E89" s="1477"/>
      <c r="F89" s="1477"/>
      <c r="G89" s="1477"/>
      <c r="H89" s="1477"/>
      <c r="I89" s="1477"/>
      <c r="J89" s="1478"/>
      <c r="K89" s="459"/>
    </row>
    <row r="90" spans="1:17" ht="15" customHeight="1">
      <c r="A90" s="1031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931"/>
    </row>
    <row r="91" spans="1:17" ht="15" customHeight="1">
      <c r="A91" s="1031"/>
      <c r="B91" s="805" t="s">
        <v>411</v>
      </c>
      <c r="C91" s="1762" t="s">
        <v>412</v>
      </c>
      <c r="D91" s="1481"/>
      <c r="E91" s="1481"/>
      <c r="F91" s="1481"/>
      <c r="G91" s="1481"/>
      <c r="H91" s="1481"/>
      <c r="I91" s="1623"/>
      <c r="J91" s="1351" t="s">
        <v>390</v>
      </c>
      <c r="K91" s="727"/>
    </row>
    <row r="92" spans="1:17" ht="30.75" customHeight="1">
      <c r="A92" s="1031"/>
      <c r="B92" s="1763" t="s">
        <v>312</v>
      </c>
      <c r="C92" s="1622" t="s">
        <v>1290</v>
      </c>
      <c r="D92" s="1481"/>
      <c r="E92" s="1352" t="s">
        <v>1291</v>
      </c>
      <c r="F92" s="1353">
        <f>J47</f>
        <v>2925.11</v>
      </c>
      <c r="G92" s="1354" t="s">
        <v>1292</v>
      </c>
      <c r="H92" s="1355">
        <f>'1-ABA-DE-CARREGAMENTO'!K75</f>
        <v>0.06</v>
      </c>
      <c r="I92" s="1356">
        <f>F92*H92</f>
        <v>175.50659999999999</v>
      </c>
      <c r="J92" s="1357">
        <f>IF(ROUND((I93*F93*G94)-(F92*H92),2)&lt;0,0,ROUND((I93*F93*G94)-(F92*H92),2))</f>
        <v>124.57</v>
      </c>
      <c r="K92" s="1049"/>
    </row>
    <row r="93" spans="1:17" ht="18.75" customHeight="1">
      <c r="A93" s="1031"/>
      <c r="B93" s="1684"/>
      <c r="C93" s="1684"/>
      <c r="D93" s="1419"/>
      <c r="E93" s="1358" t="s">
        <v>1293</v>
      </c>
      <c r="F93" s="1359">
        <f>'1-ABA-DE-CARREGAMENTO'!K73</f>
        <v>2</v>
      </c>
      <c r="G93" s="1764" t="s">
        <v>1294</v>
      </c>
      <c r="H93" s="1765"/>
      <c r="I93" s="1360">
        <f>'1-ABA-DE-CARREGAMENTO'!K74</f>
        <v>22</v>
      </c>
      <c r="J93" s="1361" t="s">
        <v>325</v>
      </c>
      <c r="K93" s="1046"/>
      <c r="L93" s="723"/>
      <c r="M93" s="723"/>
      <c r="N93" s="723"/>
      <c r="O93" s="723"/>
      <c r="P93" s="723"/>
      <c r="Q93" s="723"/>
    </row>
    <row r="94" spans="1:17" ht="30.75" customHeight="1">
      <c r="A94" s="1031"/>
      <c r="B94" s="1685"/>
      <c r="C94" s="1685"/>
      <c r="D94" s="1575"/>
      <c r="E94" s="1766" t="s">
        <v>1295</v>
      </c>
      <c r="F94" s="1767"/>
      <c r="G94" s="1362">
        <f>'1-ABA-DE-CARREGAMENTO'!K72</f>
        <v>6.82</v>
      </c>
      <c r="H94" s="1363" t="s">
        <v>1296</v>
      </c>
      <c r="I94" s="1364">
        <f>F93*I93*G94</f>
        <v>300.08000000000004</v>
      </c>
      <c r="J94" s="1361" t="s">
        <v>325</v>
      </c>
      <c r="K94" s="1046"/>
      <c r="L94" s="1758"/>
      <c r="M94" s="1419"/>
      <c r="N94" s="1419"/>
      <c r="O94" s="1419"/>
      <c r="P94" s="1419"/>
      <c r="Q94" s="1419"/>
    </row>
    <row r="95" spans="1:17" ht="16.5" customHeight="1">
      <c r="A95" s="1031"/>
      <c r="B95" s="1768" t="s">
        <v>314</v>
      </c>
      <c r="C95" s="1759" t="s">
        <v>1297</v>
      </c>
      <c r="D95" s="1481"/>
      <c r="E95" s="1481"/>
      <c r="F95" s="1365" t="s">
        <v>1298</v>
      </c>
      <c r="G95" s="1366" t="s">
        <v>1299</v>
      </c>
      <c r="H95" s="1366" t="s">
        <v>1300</v>
      </c>
      <c r="I95" s="1367"/>
      <c r="J95" s="1368">
        <f>I96+I97+I98</f>
        <v>0</v>
      </c>
      <c r="K95" s="1046"/>
    </row>
    <row r="96" spans="1:17" ht="17.25" customHeight="1">
      <c r="A96" s="1031"/>
      <c r="B96" s="1684"/>
      <c r="C96" s="1684"/>
      <c r="D96" s="1419"/>
      <c r="E96" s="1419"/>
      <c r="F96" s="1369" t="s">
        <v>1301</v>
      </c>
      <c r="G96" s="1370">
        <v>0</v>
      </c>
      <c r="H96" s="1371">
        <f>'1-ABA-DE-CARREGAMENTO'!K67</f>
        <v>20.75</v>
      </c>
      <c r="I96" s="1372">
        <f t="shared" ref="I96:I98" si="4">G96*H96</f>
        <v>0</v>
      </c>
      <c r="J96" s="1361">
        <f>I96+I97+I98</f>
        <v>0</v>
      </c>
      <c r="K96" s="1046"/>
    </row>
    <row r="97" spans="1:11" ht="17.25" customHeight="1">
      <c r="A97" s="1031"/>
      <c r="B97" s="1684"/>
      <c r="C97" s="1684"/>
      <c r="D97" s="1419"/>
      <c r="E97" s="1419"/>
      <c r="F97" s="1369" t="s">
        <v>1302</v>
      </c>
      <c r="G97" s="1370">
        <f t="shared" ref="G97:G98" si="5">G96</f>
        <v>0</v>
      </c>
      <c r="H97" s="1371">
        <f>'1-ABA-DE-CARREGAMENTO'!K68</f>
        <v>30.77</v>
      </c>
      <c r="I97" s="1372">
        <f t="shared" si="4"/>
        <v>0</v>
      </c>
      <c r="J97" s="1373">
        <f>I96+I97+I98</f>
        <v>0</v>
      </c>
      <c r="K97" s="1046"/>
    </row>
    <row r="98" spans="1:11" ht="17.25" customHeight="1">
      <c r="A98" s="1031"/>
      <c r="B98" s="1685"/>
      <c r="C98" s="1685"/>
      <c r="D98" s="1575"/>
      <c r="E98" s="1575"/>
      <c r="F98" s="1374" t="s">
        <v>1303</v>
      </c>
      <c r="G98" s="1375">
        <f t="shared" si="5"/>
        <v>0</v>
      </c>
      <c r="H98" s="1376">
        <f>'1-ABA-DE-CARREGAMENTO'!K69</f>
        <v>30.77</v>
      </c>
      <c r="I98" s="1364">
        <f t="shared" si="4"/>
        <v>0</v>
      </c>
      <c r="J98" s="1377"/>
      <c r="K98" s="1049"/>
    </row>
    <row r="99" spans="1:11" ht="28.5" customHeight="1">
      <c r="A99" s="1031"/>
      <c r="B99" s="1378" t="s">
        <v>316</v>
      </c>
      <c r="C99" s="1340" t="s">
        <v>1304</v>
      </c>
      <c r="D99" s="1773" t="s">
        <v>1305</v>
      </c>
      <c r="E99" s="1481"/>
      <c r="F99" s="1379">
        <f>'1-ABA-DE-CARREGAMENTO'!K64</f>
        <v>0</v>
      </c>
      <c r="G99" s="1773" t="s">
        <v>1306</v>
      </c>
      <c r="H99" s="1481"/>
      <c r="I99" s="1380">
        <f>'1-ABA-DE-CARREGAMENTO'!K65</f>
        <v>0</v>
      </c>
      <c r="J99" s="1381">
        <f>F99-I99</f>
        <v>0</v>
      </c>
      <c r="K99" s="1046"/>
    </row>
    <row r="100" spans="1:11" ht="21" customHeight="1">
      <c r="A100" s="1031"/>
      <c r="B100" s="1775" t="s">
        <v>318</v>
      </c>
      <c r="C100" s="1776" t="s">
        <v>1307</v>
      </c>
      <c r="D100" s="1779" t="s">
        <v>1308</v>
      </c>
      <c r="E100" s="1780"/>
      <c r="F100" s="1781"/>
      <c r="G100" s="1382">
        <f>IF('1-ABA-DE-CARREGAMENTO'!J60&gt;0,'1-ABA-DE-CARREGAMENTO'!J60,'1-ABA-DE-CARREGAMENTO'!K60)</f>
        <v>31.69</v>
      </c>
      <c r="H100" s="1782">
        <f>G100*I101</f>
        <v>697.18000000000006</v>
      </c>
      <c r="I100" s="1783"/>
      <c r="J100" s="1383"/>
      <c r="K100" s="1046"/>
    </row>
    <row r="101" spans="1:11" ht="30.75" customHeight="1">
      <c r="A101" s="1031"/>
      <c r="B101" s="1684"/>
      <c r="C101" s="1777"/>
      <c r="D101" s="1784" t="s">
        <v>1309</v>
      </c>
      <c r="E101" s="1785"/>
      <c r="F101" s="1785"/>
      <c r="G101" s="1785"/>
      <c r="H101" s="1765"/>
      <c r="I101" s="1384">
        <f>22-G96</f>
        <v>22</v>
      </c>
      <c r="J101" s="1377">
        <f>H100-G102</f>
        <v>557.74400000000003</v>
      </c>
      <c r="K101" s="1046"/>
    </row>
    <row r="102" spans="1:11" ht="21" customHeight="1">
      <c r="A102" s="1031"/>
      <c r="B102" s="1685"/>
      <c r="C102" s="1778"/>
      <c r="D102" s="1769" t="s">
        <v>1310</v>
      </c>
      <c r="E102" s="1767"/>
      <c r="F102" s="1385">
        <f>'1-ABA-DE-CARREGAMENTO'!K61</f>
        <v>0.2</v>
      </c>
      <c r="G102" s="1770">
        <f>H100*F102</f>
        <v>139.43600000000001</v>
      </c>
      <c r="H102" s="1771"/>
      <c r="I102" s="1772"/>
      <c r="J102" s="1386"/>
      <c r="K102" s="1049"/>
    </row>
    <row r="103" spans="1:11" ht="24.75" customHeight="1">
      <c r="A103" s="1031"/>
      <c r="B103" s="1378" t="s">
        <v>360</v>
      </c>
      <c r="C103" s="1628" t="s">
        <v>1311</v>
      </c>
      <c r="D103" s="1575"/>
      <c r="E103" s="1575"/>
      <c r="F103" s="1575"/>
      <c r="G103" s="1575"/>
      <c r="H103" s="1575"/>
      <c r="I103" s="1575"/>
      <c r="J103" s="820">
        <f>'1-ABA-DE-CARREGAMENTO'!K77</f>
        <v>17.492157800000001</v>
      </c>
      <c r="K103" s="1049"/>
    </row>
    <row r="104" spans="1:11" ht="56.25" customHeight="1">
      <c r="A104" s="1031"/>
      <c r="B104" s="1378" t="s">
        <v>364</v>
      </c>
      <c r="C104" s="722" t="s">
        <v>1312</v>
      </c>
      <c r="D104" s="1387" t="s">
        <v>1313</v>
      </c>
      <c r="E104" s="1388">
        <f>'1-ABA-DE-CARREGAMENTO'!K71</f>
        <v>218.93999999999997</v>
      </c>
      <c r="F104" s="1387" t="s">
        <v>1314</v>
      </c>
      <c r="G104" s="1389">
        <v>0.2</v>
      </c>
      <c r="H104" s="1387" t="s">
        <v>1315</v>
      </c>
      <c r="I104" s="1390">
        <f>E104*G104</f>
        <v>43.787999999999997</v>
      </c>
      <c r="J104" s="796">
        <f>E104-I104</f>
        <v>175.15199999999999</v>
      </c>
      <c r="K104" s="1049"/>
    </row>
    <row r="105" spans="1:11" ht="27" customHeight="1">
      <c r="A105" s="1031"/>
      <c r="B105" s="748" t="s">
        <v>366</v>
      </c>
      <c r="C105" s="722" t="s">
        <v>1316</v>
      </c>
      <c r="D105" s="1774" t="s">
        <v>1317</v>
      </c>
      <c r="E105" s="1477"/>
      <c r="F105" s="1388">
        <f>'1-ABA-DE-CARREGAMENTO'!K66</f>
        <v>173.77</v>
      </c>
      <c r="G105" s="1774" t="s">
        <v>1318</v>
      </c>
      <c r="H105" s="1477"/>
      <c r="I105" s="1391">
        <f>G96</f>
        <v>0</v>
      </c>
      <c r="J105" s="1381">
        <f>'1-ABA-DE-CARREGAMENTO'!K76</f>
        <v>0</v>
      </c>
      <c r="K105" s="1049"/>
    </row>
    <row r="106" spans="1:11" ht="17.25" customHeight="1">
      <c r="A106" s="1031"/>
      <c r="B106" s="743" t="s">
        <v>368</v>
      </c>
      <c r="C106" s="1589" t="s">
        <v>468</v>
      </c>
      <c r="D106" s="1477"/>
      <c r="E106" s="1477"/>
      <c r="F106" s="1477"/>
      <c r="G106" s="1477"/>
      <c r="H106" s="1477"/>
      <c r="I106" s="1477"/>
      <c r="J106" s="881">
        <v>0</v>
      </c>
      <c r="K106" s="789"/>
    </row>
    <row r="107" spans="1:11" ht="33.75" customHeight="1">
      <c r="A107" s="1031"/>
      <c r="B107" s="823"/>
      <c r="C107" s="1585" t="s">
        <v>393</v>
      </c>
      <c r="D107" s="1477"/>
      <c r="E107" s="1477"/>
      <c r="F107" s="1477"/>
      <c r="G107" s="1477"/>
      <c r="H107" s="1477"/>
      <c r="I107" s="1521"/>
      <c r="J107" s="788">
        <f>SUM(J92:J106)</f>
        <v>874.95815779999998</v>
      </c>
      <c r="K107" s="1049"/>
    </row>
    <row r="108" spans="1:11" ht="12" customHeight="1">
      <c r="A108" s="1031"/>
      <c r="B108" s="1618"/>
      <c r="C108" s="1477"/>
      <c r="D108" s="1477"/>
      <c r="E108" s="1477"/>
      <c r="F108" s="1477"/>
      <c r="G108" s="1477"/>
      <c r="H108" s="1477"/>
      <c r="I108" s="1477"/>
      <c r="J108" s="1478"/>
      <c r="K108" s="459"/>
    </row>
    <row r="109" spans="1:11" ht="33.75" customHeight="1">
      <c r="A109" s="1031"/>
      <c r="B109" s="1653" t="s">
        <v>430</v>
      </c>
      <c r="C109" s="1477"/>
      <c r="D109" s="1477"/>
      <c r="E109" s="1477"/>
      <c r="F109" s="1477"/>
      <c r="G109" s="1477"/>
      <c r="H109" s="1477"/>
      <c r="I109" s="1477"/>
      <c r="J109" s="1478"/>
      <c r="K109" s="750"/>
    </row>
    <row r="110" spans="1:11" ht="10.5" customHeight="1">
      <c r="A110" s="1031"/>
      <c r="B110" s="1616"/>
      <c r="C110" s="1477"/>
      <c r="D110" s="1477"/>
      <c r="E110" s="1477"/>
      <c r="F110" s="1477"/>
      <c r="G110" s="1477"/>
      <c r="H110" s="1477"/>
      <c r="I110" s="1477"/>
      <c r="J110" s="1478"/>
      <c r="K110" s="697"/>
    </row>
    <row r="111" spans="1:11" ht="19.5" customHeight="1">
      <c r="A111" s="1031"/>
      <c r="B111" s="1670" t="s">
        <v>431</v>
      </c>
      <c r="C111" s="1477"/>
      <c r="D111" s="1477"/>
      <c r="E111" s="1477"/>
      <c r="F111" s="1477"/>
      <c r="G111" s="1477"/>
      <c r="H111" s="1477"/>
      <c r="I111" s="1477"/>
      <c r="J111" s="1478"/>
      <c r="K111" s="779"/>
    </row>
    <row r="112" spans="1:11" ht="19.5" customHeight="1">
      <c r="A112" s="1031"/>
      <c r="B112" s="793">
        <v>2</v>
      </c>
      <c r="C112" s="1664" t="s">
        <v>432</v>
      </c>
      <c r="D112" s="1477"/>
      <c r="E112" s="1477"/>
      <c r="F112" s="1477"/>
      <c r="G112" s="1477"/>
      <c r="H112" s="1477"/>
      <c r="I112" s="1478"/>
      <c r="J112" s="793" t="s">
        <v>390</v>
      </c>
      <c r="K112" s="783"/>
    </row>
    <row r="113" spans="1:11" ht="19.5" customHeight="1">
      <c r="A113" s="1031"/>
      <c r="B113" s="733" t="s">
        <v>388</v>
      </c>
      <c r="C113" s="1656" t="s">
        <v>1319</v>
      </c>
      <c r="D113" s="1477"/>
      <c r="E113" s="1477"/>
      <c r="F113" s="1477"/>
      <c r="G113" s="1477"/>
      <c r="H113" s="1477"/>
      <c r="I113" s="1478"/>
      <c r="J113" s="824">
        <f>J72</f>
        <v>332.14</v>
      </c>
      <c r="K113" s="825"/>
    </row>
    <row r="114" spans="1:11" ht="19.5" customHeight="1">
      <c r="A114" s="1031"/>
      <c r="B114" s="733" t="s">
        <v>396</v>
      </c>
      <c r="C114" s="1656" t="s">
        <v>397</v>
      </c>
      <c r="D114" s="1477"/>
      <c r="E114" s="1477"/>
      <c r="F114" s="1477"/>
      <c r="G114" s="1477"/>
      <c r="H114" s="1477"/>
      <c r="I114" s="1478"/>
      <c r="J114" s="824">
        <f>J86</f>
        <v>1100.94</v>
      </c>
      <c r="K114" s="825"/>
    </row>
    <row r="115" spans="1:11" ht="19.5" customHeight="1">
      <c r="A115" s="1031"/>
      <c r="B115" s="733" t="s">
        <v>411</v>
      </c>
      <c r="C115" s="1656" t="s">
        <v>412</v>
      </c>
      <c r="D115" s="1477"/>
      <c r="E115" s="1477"/>
      <c r="F115" s="1477"/>
      <c r="G115" s="1477"/>
      <c r="H115" s="1477"/>
      <c r="I115" s="1478"/>
      <c r="J115" s="824">
        <f>J107</f>
        <v>874.95815779999998</v>
      </c>
      <c r="K115" s="825"/>
    </row>
    <row r="116" spans="1:11" ht="14.25" customHeight="1">
      <c r="A116" s="1031"/>
      <c r="B116" s="1669" t="s">
        <v>393</v>
      </c>
      <c r="C116" s="1477"/>
      <c r="D116" s="1477"/>
      <c r="E116" s="1477"/>
      <c r="F116" s="1477"/>
      <c r="G116" s="1477"/>
      <c r="H116" s="1477"/>
      <c r="I116" s="1478"/>
      <c r="J116" s="826">
        <f>SUM(J113+J114+J115)</f>
        <v>2308.0381577999997</v>
      </c>
      <c r="K116" s="825"/>
    </row>
    <row r="117" spans="1:11" ht="14.25" customHeight="1">
      <c r="A117" s="1031"/>
      <c r="B117" s="1671"/>
      <c r="C117" s="1477"/>
      <c r="D117" s="1477"/>
      <c r="E117" s="1477"/>
      <c r="F117" s="1477"/>
      <c r="G117" s="1477"/>
      <c r="H117" s="1477"/>
      <c r="I117" s="1477"/>
      <c r="J117" s="1478"/>
      <c r="K117" s="827"/>
    </row>
    <row r="118" spans="1:11" ht="18.75" customHeight="1">
      <c r="A118" s="1031"/>
      <c r="B118" s="1559" t="s">
        <v>434</v>
      </c>
      <c r="C118" s="1477"/>
      <c r="D118" s="1477"/>
      <c r="E118" s="1477"/>
      <c r="F118" s="1477"/>
      <c r="G118" s="1477"/>
      <c r="H118" s="1477"/>
      <c r="I118" s="1477"/>
      <c r="J118" s="1478"/>
      <c r="K118" s="1054"/>
    </row>
    <row r="119" spans="1:11" ht="15.75" customHeight="1">
      <c r="A119" s="1031"/>
      <c r="B119" s="805">
        <v>3</v>
      </c>
      <c r="C119" s="1555" t="s">
        <v>435</v>
      </c>
      <c r="D119" s="1477"/>
      <c r="E119" s="1477"/>
      <c r="F119" s="1477"/>
      <c r="G119" s="1477"/>
      <c r="H119" s="1477"/>
      <c r="I119" s="1478"/>
      <c r="J119" s="805" t="s">
        <v>390</v>
      </c>
      <c r="K119" s="1055"/>
    </row>
    <row r="120" spans="1:11" ht="42" customHeight="1">
      <c r="A120" s="1031"/>
      <c r="B120" s="743" t="s">
        <v>312</v>
      </c>
      <c r="C120" s="1577" t="s">
        <v>1320</v>
      </c>
      <c r="D120" s="1477"/>
      <c r="E120" s="1477"/>
      <c r="F120" s="1477"/>
      <c r="G120" s="1477"/>
      <c r="H120" s="1477"/>
      <c r="I120" s="1478"/>
      <c r="J120" s="796">
        <f>ROUND((($J$58/12)+($J$70/12)+(J58/12/12)+($J$71/12))*(30/30)*0.05,2)</f>
        <v>14.59</v>
      </c>
      <c r="K120" s="1049"/>
    </row>
    <row r="121" spans="1:11" ht="72" customHeight="1">
      <c r="A121" s="1031"/>
      <c r="B121" s="743" t="s">
        <v>314</v>
      </c>
      <c r="C121" s="1672" t="s">
        <v>1321</v>
      </c>
      <c r="D121" s="1477"/>
      <c r="E121" s="1477"/>
      <c r="F121" s="1477"/>
      <c r="G121" s="1477"/>
      <c r="H121" s="1477"/>
      <c r="I121" s="830" t="str">
        <f>IF(J121&lt;J58*1.94%,"OK","VERIFIQUE")</f>
        <v>OK</v>
      </c>
      <c r="J121" s="796">
        <f>ROUND($I$85*J120,2)</f>
        <v>1.17</v>
      </c>
      <c r="K121" s="1049"/>
    </row>
    <row r="122" spans="1:11" ht="30" customHeight="1">
      <c r="A122" s="1031"/>
      <c r="B122" s="743" t="s">
        <v>316</v>
      </c>
      <c r="C122" s="1577" t="s">
        <v>1322</v>
      </c>
      <c r="D122" s="1477"/>
      <c r="E122" s="1477"/>
      <c r="F122" s="1477"/>
      <c r="G122" s="1477"/>
      <c r="H122" s="1477"/>
      <c r="I122" s="1478"/>
      <c r="J122" s="796">
        <f>ROUND(((7/30)/$I$11)*$J$58*1,2)</f>
        <v>22.75</v>
      </c>
      <c r="K122" s="1049"/>
    </row>
    <row r="123" spans="1:11" ht="18.75" customHeight="1">
      <c r="A123" s="1031"/>
      <c r="B123" s="743" t="s">
        <v>318</v>
      </c>
      <c r="C123" s="1589" t="s">
        <v>439</v>
      </c>
      <c r="D123" s="1477"/>
      <c r="E123" s="1477"/>
      <c r="F123" s="1477"/>
      <c r="G123" s="1477"/>
      <c r="H123" s="1477"/>
      <c r="I123" s="1478"/>
      <c r="J123" s="796">
        <f>ROUND($I$86*J122,2)</f>
        <v>7.69</v>
      </c>
      <c r="K123" s="1049"/>
    </row>
    <row r="124" spans="1:11" ht="33.75" customHeight="1">
      <c r="A124" s="1031"/>
      <c r="B124" s="743" t="s">
        <v>360</v>
      </c>
      <c r="C124" s="1577" t="s">
        <v>1323</v>
      </c>
      <c r="D124" s="1477"/>
      <c r="E124" s="1477"/>
      <c r="F124" s="1477"/>
      <c r="G124" s="1477"/>
      <c r="H124" s="1478"/>
      <c r="I124" s="831">
        <v>0.04</v>
      </c>
      <c r="J124" s="796">
        <f>ROUND(J58*I124,2)</f>
        <v>117</v>
      </c>
      <c r="K124" s="1049"/>
    </row>
    <row r="125" spans="1:11" ht="19.5" customHeight="1">
      <c r="A125" s="1031"/>
      <c r="B125" s="1585" t="s">
        <v>441</v>
      </c>
      <c r="C125" s="1477"/>
      <c r="D125" s="1477"/>
      <c r="E125" s="1477"/>
      <c r="F125" s="1477"/>
      <c r="G125" s="1477"/>
      <c r="H125" s="1477"/>
      <c r="I125" s="1478"/>
      <c r="J125" s="788">
        <f>SUM(J120:J124)</f>
        <v>163.19999999999999</v>
      </c>
      <c r="K125" s="1049"/>
    </row>
    <row r="126" spans="1:11" ht="15.75" customHeight="1">
      <c r="A126" s="1031"/>
      <c r="B126" s="1673"/>
      <c r="C126" s="1477"/>
      <c r="D126" s="1477"/>
      <c r="E126" s="1477"/>
      <c r="F126" s="1477"/>
      <c r="G126" s="1477"/>
      <c r="H126" s="1477"/>
      <c r="I126" s="1477"/>
      <c r="J126" s="1478"/>
      <c r="K126" s="1056"/>
    </row>
    <row r="127" spans="1:11" ht="17.25" customHeight="1">
      <c r="A127" s="1031"/>
      <c r="B127" s="1674" t="s">
        <v>442</v>
      </c>
      <c r="C127" s="1477"/>
      <c r="D127" s="1477"/>
      <c r="E127" s="1477"/>
      <c r="F127" s="1477"/>
      <c r="G127" s="1477"/>
      <c r="H127" s="1477"/>
      <c r="I127" s="1477"/>
      <c r="J127" s="1478"/>
      <c r="K127" s="828"/>
    </row>
    <row r="128" spans="1:11" ht="30" customHeight="1">
      <c r="A128" s="1031"/>
      <c r="B128" s="1653" t="s">
        <v>443</v>
      </c>
      <c r="C128" s="1477"/>
      <c r="D128" s="1477"/>
      <c r="E128" s="1477"/>
      <c r="F128" s="1477"/>
      <c r="G128" s="1477"/>
      <c r="H128" s="1477"/>
      <c r="I128" s="1477"/>
      <c r="J128" s="1478"/>
      <c r="K128" s="750"/>
    </row>
    <row r="129" spans="1:11" ht="28.5" customHeight="1">
      <c r="A129" s="1031"/>
      <c r="B129" s="1663" t="s">
        <v>1324</v>
      </c>
      <c r="C129" s="1477"/>
      <c r="D129" s="1477"/>
      <c r="E129" s="1477"/>
      <c r="F129" s="1477"/>
      <c r="G129" s="1477"/>
      <c r="H129" s="1477"/>
      <c r="I129" s="1477"/>
      <c r="J129" s="1478"/>
      <c r="K129" s="780"/>
    </row>
    <row r="130" spans="1:11" ht="36" customHeight="1">
      <c r="A130" s="1031"/>
      <c r="B130" s="832" t="s">
        <v>445</v>
      </c>
      <c r="C130" s="833">
        <f>J58</f>
        <v>2925.11</v>
      </c>
      <c r="D130" s="834" t="s">
        <v>446</v>
      </c>
      <c r="E130" s="832" t="s">
        <v>1325</v>
      </c>
      <c r="F130" s="833">
        <f>J116-J92-J98</f>
        <v>2183.4681577999995</v>
      </c>
      <c r="G130" s="834" t="s">
        <v>446</v>
      </c>
      <c r="H130" s="832" t="s">
        <v>448</v>
      </c>
      <c r="I130" s="833">
        <f>J125</f>
        <v>163.19999999999999</v>
      </c>
      <c r="J130" s="835">
        <f>C130+F130+I130</f>
        <v>5271.7781577999995</v>
      </c>
      <c r="K130" s="836"/>
    </row>
    <row r="131" spans="1:11" ht="9" customHeight="1">
      <c r="A131" s="1031"/>
      <c r="B131" s="1675"/>
      <c r="C131" s="1477"/>
      <c r="D131" s="1477"/>
      <c r="E131" s="1477"/>
      <c r="F131" s="1477"/>
      <c r="G131" s="1477"/>
      <c r="H131" s="1477"/>
      <c r="I131" s="1477"/>
      <c r="J131" s="1478"/>
      <c r="K131" s="837"/>
    </row>
    <row r="132" spans="1:11" ht="15.75" customHeight="1">
      <c r="A132" s="1031"/>
      <c r="B132" s="1606" t="s">
        <v>449</v>
      </c>
      <c r="C132" s="1477"/>
      <c r="D132" s="1477"/>
      <c r="E132" s="1477"/>
      <c r="F132" s="1477"/>
      <c r="G132" s="1477"/>
      <c r="H132" s="1477"/>
      <c r="I132" s="1477"/>
      <c r="J132" s="1478"/>
      <c r="K132" s="838"/>
    </row>
    <row r="133" spans="1:11" ht="17.25" customHeight="1">
      <c r="A133" s="1031"/>
      <c r="B133" s="1057" t="s">
        <v>450</v>
      </c>
      <c r="C133" s="1555" t="s">
        <v>451</v>
      </c>
      <c r="D133" s="1477"/>
      <c r="E133" s="1477"/>
      <c r="F133" s="1477"/>
      <c r="G133" s="1477"/>
      <c r="H133" s="1477"/>
      <c r="I133" s="1478"/>
      <c r="J133" s="1057" t="s">
        <v>390</v>
      </c>
      <c r="K133" s="1058"/>
    </row>
    <row r="134" spans="1:11" ht="45" customHeight="1">
      <c r="A134" s="1031"/>
      <c r="B134" s="743" t="s">
        <v>312</v>
      </c>
      <c r="C134" s="1656" t="s">
        <v>1326</v>
      </c>
      <c r="D134" s="1477"/>
      <c r="E134" s="1477"/>
      <c r="F134" s="1477"/>
      <c r="G134" s="1477"/>
      <c r="H134" s="840">
        <v>9.0749999999999997E-2</v>
      </c>
      <c r="I134" s="1004">
        <f>I86</f>
        <v>0.33800000000000002</v>
      </c>
      <c r="J134" s="796">
        <f>IF('1-ABA-DE-CARREGAMENTO'!K81="S",(ROUND(H134*J58,2)*(1+I134)),IF('1-ABA-DE-CARREGAMENTO'!K81="N",0,"INFORME S ou N"))</f>
        <v>355.1721</v>
      </c>
      <c r="K134" s="1049"/>
    </row>
    <row r="135" spans="1:11" ht="17.25" customHeight="1">
      <c r="A135" s="1031"/>
      <c r="B135" s="743" t="s">
        <v>314</v>
      </c>
      <c r="C135" s="1577" t="s">
        <v>1327</v>
      </c>
      <c r="D135" s="1477"/>
      <c r="E135" s="1477"/>
      <c r="F135" s="1477"/>
      <c r="G135" s="1477"/>
      <c r="H135" s="1477"/>
      <c r="I135" s="1478"/>
      <c r="J135" s="796">
        <f>ROUND((1/30)/12*(J130),2)</f>
        <v>14.64</v>
      </c>
      <c r="K135" s="1049"/>
    </row>
    <row r="136" spans="1:11" ht="26.25" customHeight="1">
      <c r="A136" s="1031"/>
      <c r="B136" s="743" t="s">
        <v>316</v>
      </c>
      <c r="C136" s="1577" t="s">
        <v>1328</v>
      </c>
      <c r="D136" s="1477"/>
      <c r="E136" s="1477"/>
      <c r="F136" s="1477"/>
      <c r="G136" s="1477"/>
      <c r="H136" s="1477"/>
      <c r="I136" s="1478"/>
      <c r="J136" s="796">
        <f>ROUND((5/30)/12*0.015*(J130),2)</f>
        <v>1.1000000000000001</v>
      </c>
      <c r="K136" s="1049"/>
    </row>
    <row r="137" spans="1:11" ht="28.5" customHeight="1">
      <c r="A137" s="1031"/>
      <c r="B137" s="743" t="s">
        <v>318</v>
      </c>
      <c r="C137" s="1577" t="s">
        <v>1329</v>
      </c>
      <c r="D137" s="1477"/>
      <c r="E137" s="1477"/>
      <c r="F137" s="1477"/>
      <c r="G137" s="1477"/>
      <c r="H137" s="1477"/>
      <c r="I137" s="1478"/>
      <c r="J137" s="796">
        <f>ROUND(((15/30)/12)*0.0078*(J130),2)</f>
        <v>1.71</v>
      </c>
      <c r="K137" s="1049"/>
    </row>
    <row r="138" spans="1:11" ht="30.75" customHeight="1">
      <c r="A138" s="1031"/>
      <c r="B138" s="843" t="s">
        <v>360</v>
      </c>
      <c r="C138" s="1676" t="s">
        <v>1330</v>
      </c>
      <c r="D138" s="1477"/>
      <c r="E138" s="1477"/>
      <c r="F138" s="1477"/>
      <c r="G138" s="1477"/>
      <c r="H138" s="1477"/>
      <c r="I138" s="1478"/>
      <c r="J138" s="1280">
        <f>ROUND(((((C130+C130/3)+(I86)*(C130+C130/3))*(4/12))/12)*0.02,2) + ((J107 -J92-J98+ J125)*4/12)*0.02</f>
        <v>8.9905877186666672</v>
      </c>
      <c r="K138" s="1059"/>
    </row>
    <row r="139" spans="1:11" ht="38.25" customHeight="1">
      <c r="A139" s="1031"/>
      <c r="B139" s="743" t="s">
        <v>364</v>
      </c>
      <c r="C139" s="1577" t="s">
        <v>1331</v>
      </c>
      <c r="D139" s="1477"/>
      <c r="E139" s="1477"/>
      <c r="F139" s="1477"/>
      <c r="G139" s="1477"/>
      <c r="H139" s="1477"/>
      <c r="I139" s="1478"/>
      <c r="J139" s="796">
        <f>ROUND(((3/30)/12)*(J130),2)</f>
        <v>43.93</v>
      </c>
      <c r="K139" s="1049"/>
    </row>
    <row r="140" spans="1:11" ht="18" customHeight="1">
      <c r="A140" s="1031"/>
      <c r="B140" s="1585" t="s">
        <v>393</v>
      </c>
      <c r="C140" s="1477"/>
      <c r="D140" s="1477"/>
      <c r="E140" s="1477"/>
      <c r="F140" s="1477"/>
      <c r="G140" s="1477"/>
      <c r="H140" s="1477"/>
      <c r="I140" s="1478"/>
      <c r="J140" s="788">
        <f>SUM(J134:J139)</f>
        <v>425.54268771866668</v>
      </c>
      <c r="K140" s="1049"/>
    </row>
    <row r="141" spans="1:11" ht="10.5" customHeight="1">
      <c r="A141" s="1031"/>
      <c r="B141" s="1673"/>
      <c r="C141" s="1477"/>
      <c r="D141" s="1477"/>
      <c r="E141" s="1477"/>
      <c r="F141" s="1477"/>
      <c r="G141" s="1477"/>
      <c r="H141" s="1477"/>
      <c r="I141" s="1477"/>
      <c r="J141" s="1478"/>
      <c r="K141" s="1056"/>
    </row>
    <row r="142" spans="1:11" ht="19.5" customHeight="1">
      <c r="A142" s="1031"/>
      <c r="B142" s="1602" t="s">
        <v>458</v>
      </c>
      <c r="C142" s="1477"/>
      <c r="D142" s="1477"/>
      <c r="E142" s="1477"/>
      <c r="F142" s="1477"/>
      <c r="G142" s="1477"/>
      <c r="H142" s="1477"/>
      <c r="I142" s="1477"/>
      <c r="J142" s="1478"/>
      <c r="K142" s="931"/>
    </row>
    <row r="143" spans="1:11" ht="19.5" customHeight="1">
      <c r="A143" s="1031"/>
      <c r="B143" s="846" t="s">
        <v>459</v>
      </c>
      <c r="C143" s="1677" t="s">
        <v>460</v>
      </c>
      <c r="D143" s="1477"/>
      <c r="E143" s="1477"/>
      <c r="F143" s="1477"/>
      <c r="G143" s="1477"/>
      <c r="H143" s="1477"/>
      <c r="I143" s="1478"/>
      <c r="J143" s="847" t="s">
        <v>390</v>
      </c>
      <c r="K143" s="1060"/>
    </row>
    <row r="144" spans="1:11" ht="19.5" customHeight="1">
      <c r="A144" s="1031"/>
      <c r="B144" s="849" t="s">
        <v>312</v>
      </c>
      <c r="C144" s="1678" t="s">
        <v>461</v>
      </c>
      <c r="D144" s="1477"/>
      <c r="E144" s="1477"/>
      <c r="F144" s="1477"/>
      <c r="G144" s="1477"/>
      <c r="H144" s="1477"/>
      <c r="I144" s="1478"/>
      <c r="J144" s="850">
        <v>0</v>
      </c>
      <c r="K144" s="1061"/>
    </row>
    <row r="145" spans="1:11" ht="19.5" customHeight="1">
      <c r="A145" s="1031"/>
      <c r="B145" s="1660" t="s">
        <v>393</v>
      </c>
      <c r="C145" s="1477"/>
      <c r="D145" s="1477"/>
      <c r="E145" s="1477"/>
      <c r="F145" s="1477"/>
      <c r="G145" s="1477"/>
      <c r="H145" s="1477"/>
      <c r="I145" s="1478"/>
      <c r="J145" s="851">
        <v>0</v>
      </c>
      <c r="K145" s="1061"/>
    </row>
    <row r="146" spans="1:11" ht="9.75" customHeight="1">
      <c r="A146" s="1031"/>
      <c r="B146" s="1679"/>
      <c r="C146" s="1477"/>
      <c r="D146" s="1477"/>
      <c r="E146" s="1477"/>
      <c r="F146" s="1477"/>
      <c r="G146" s="1477"/>
      <c r="H146" s="1477"/>
      <c r="I146" s="1477"/>
      <c r="J146" s="1478"/>
      <c r="K146" s="1062"/>
    </row>
    <row r="147" spans="1:11" ht="19.5" customHeight="1">
      <c r="A147" s="1031"/>
      <c r="B147" s="1579" t="s">
        <v>462</v>
      </c>
      <c r="C147" s="1477"/>
      <c r="D147" s="1477"/>
      <c r="E147" s="1477"/>
      <c r="F147" s="1477"/>
      <c r="G147" s="1477"/>
      <c r="H147" s="1477"/>
      <c r="I147" s="1477"/>
      <c r="J147" s="1478"/>
      <c r="K147" s="1048"/>
    </row>
    <row r="148" spans="1:11" ht="19.5" customHeight="1">
      <c r="A148" s="1031"/>
      <c r="B148" s="793">
        <v>4</v>
      </c>
      <c r="C148" s="1677" t="s">
        <v>463</v>
      </c>
      <c r="D148" s="1477"/>
      <c r="E148" s="1477"/>
      <c r="F148" s="1477"/>
      <c r="G148" s="1477"/>
      <c r="H148" s="1477"/>
      <c r="I148" s="1478"/>
      <c r="J148" s="847" t="s">
        <v>390</v>
      </c>
      <c r="K148" s="1060"/>
    </row>
    <row r="149" spans="1:11" ht="28.5" customHeight="1">
      <c r="A149" s="1031"/>
      <c r="B149" s="733" t="s">
        <v>450</v>
      </c>
      <c r="C149" s="1678" t="s">
        <v>451</v>
      </c>
      <c r="D149" s="1477"/>
      <c r="E149" s="1477"/>
      <c r="F149" s="1477"/>
      <c r="G149" s="1477"/>
      <c r="H149" s="1477"/>
      <c r="I149" s="1478"/>
      <c r="J149" s="850">
        <f>J140</f>
        <v>425.54268771866668</v>
      </c>
      <c r="K149" s="1061"/>
    </row>
    <row r="150" spans="1:11" ht="24" customHeight="1">
      <c r="A150" s="1031"/>
      <c r="B150" s="733" t="s">
        <v>464</v>
      </c>
      <c r="C150" s="1678" t="s">
        <v>460</v>
      </c>
      <c r="D150" s="1477"/>
      <c r="E150" s="1477"/>
      <c r="F150" s="1477"/>
      <c r="G150" s="1477"/>
      <c r="H150" s="1477"/>
      <c r="I150" s="1478"/>
      <c r="J150" s="850">
        <f>J145</f>
        <v>0</v>
      </c>
      <c r="K150" s="1061"/>
    </row>
    <row r="151" spans="1:11" ht="24" customHeight="1">
      <c r="A151" s="1031"/>
      <c r="B151" s="1669" t="s">
        <v>393</v>
      </c>
      <c r="C151" s="1477"/>
      <c r="D151" s="1477"/>
      <c r="E151" s="1477"/>
      <c r="F151" s="1477"/>
      <c r="G151" s="1477"/>
      <c r="H151" s="1477"/>
      <c r="I151" s="1478"/>
      <c r="J151" s="851">
        <f>SUM(J149+J150)</f>
        <v>425.54268771866668</v>
      </c>
      <c r="K151" s="1061"/>
    </row>
    <row r="152" spans="1:11" ht="9" customHeight="1">
      <c r="A152" s="1031"/>
      <c r="B152" s="1679"/>
      <c r="C152" s="1477"/>
      <c r="D152" s="1477"/>
      <c r="E152" s="1477"/>
      <c r="F152" s="1477"/>
      <c r="G152" s="1477"/>
      <c r="H152" s="1477"/>
      <c r="I152" s="1477"/>
      <c r="J152" s="1478"/>
      <c r="K152" s="1062"/>
    </row>
    <row r="153" spans="1:11" ht="15.75" customHeight="1">
      <c r="A153" s="1031"/>
      <c r="B153" s="1674" t="s">
        <v>465</v>
      </c>
      <c r="C153" s="1477"/>
      <c r="D153" s="1477"/>
      <c r="E153" s="1477"/>
      <c r="F153" s="1477"/>
      <c r="G153" s="1477"/>
      <c r="H153" s="1477"/>
      <c r="I153" s="1477"/>
      <c r="J153" s="1478"/>
      <c r="K153" s="828"/>
    </row>
    <row r="154" spans="1:11" ht="15.75" customHeight="1">
      <c r="A154" s="1031"/>
      <c r="B154" s="805">
        <v>3</v>
      </c>
      <c r="C154" s="1603" t="s">
        <v>466</v>
      </c>
      <c r="D154" s="1477"/>
      <c r="E154" s="1477"/>
      <c r="F154" s="1477"/>
      <c r="G154" s="1477"/>
      <c r="H154" s="1477"/>
      <c r="I154" s="1478"/>
      <c r="J154" s="805" t="s">
        <v>390</v>
      </c>
      <c r="K154" s="1055"/>
    </row>
    <row r="155" spans="1:11" ht="19.5" customHeight="1">
      <c r="A155" s="1031"/>
      <c r="B155" s="743" t="s">
        <v>312</v>
      </c>
      <c r="C155" s="1577" t="s">
        <v>296</v>
      </c>
      <c r="D155" s="1477"/>
      <c r="E155" s="1477"/>
      <c r="F155" s="1477"/>
      <c r="G155" s="1477"/>
      <c r="H155" s="1477"/>
      <c r="I155" s="1478"/>
      <c r="J155" s="796">
        <v>0</v>
      </c>
      <c r="K155" s="1049"/>
    </row>
    <row r="156" spans="1:11" ht="15.75" customHeight="1">
      <c r="A156" s="1031"/>
      <c r="B156" s="743" t="s">
        <v>314</v>
      </c>
      <c r="C156" s="1577" t="s">
        <v>639</v>
      </c>
      <c r="D156" s="1477"/>
      <c r="E156" s="1477"/>
      <c r="F156" s="1477"/>
      <c r="G156" s="1477"/>
      <c r="H156" s="1477"/>
      <c r="I156" s="1478"/>
      <c r="J156" s="881">
        <v>0</v>
      </c>
      <c r="K156" s="789"/>
    </row>
    <row r="157" spans="1:11" ht="15.75" customHeight="1">
      <c r="A157" s="1031"/>
      <c r="B157" s="743" t="s">
        <v>316</v>
      </c>
      <c r="C157" s="1577" t="s">
        <v>468</v>
      </c>
      <c r="D157" s="1477"/>
      <c r="E157" s="1477"/>
      <c r="F157" s="1477"/>
      <c r="G157" s="1477"/>
      <c r="H157" s="1477"/>
      <c r="I157" s="1478"/>
      <c r="J157" s="881" t="s">
        <v>640</v>
      </c>
      <c r="K157" s="789"/>
    </row>
    <row r="158" spans="1:11" ht="19.5" customHeight="1">
      <c r="A158" s="1031"/>
      <c r="B158" s="1585" t="s">
        <v>469</v>
      </c>
      <c r="C158" s="1477"/>
      <c r="D158" s="1477"/>
      <c r="E158" s="1477"/>
      <c r="F158" s="1477"/>
      <c r="G158" s="1477"/>
      <c r="H158" s="1477"/>
      <c r="I158" s="1478"/>
      <c r="J158" s="857">
        <f>ROUND(SUM(J155:J157),2)</f>
        <v>0</v>
      </c>
      <c r="K158" s="789"/>
    </row>
    <row r="159" spans="1:11" ht="12" customHeight="1">
      <c r="A159" s="1031"/>
      <c r="B159" s="1680"/>
      <c r="C159" s="1477"/>
      <c r="D159" s="1477"/>
      <c r="E159" s="1477"/>
      <c r="F159" s="1477"/>
      <c r="G159" s="1477"/>
      <c r="H159" s="1477"/>
      <c r="I159" s="1477"/>
      <c r="J159" s="1478"/>
      <c r="K159" s="1063"/>
    </row>
    <row r="160" spans="1:11" ht="18" customHeight="1">
      <c r="A160" s="1031"/>
      <c r="B160" s="1681" t="s">
        <v>470</v>
      </c>
      <c r="C160" s="1477"/>
      <c r="D160" s="1477"/>
      <c r="E160" s="1477"/>
      <c r="F160" s="1477"/>
      <c r="G160" s="1477"/>
      <c r="H160" s="1477"/>
      <c r="I160" s="1477"/>
      <c r="J160" s="1478"/>
      <c r="K160" s="752"/>
    </row>
    <row r="161" spans="1:11" ht="12" customHeight="1">
      <c r="A161" s="1031"/>
      <c r="B161" s="859"/>
      <c r="C161" s="860"/>
      <c r="D161" s="860"/>
      <c r="E161" s="860"/>
      <c r="F161" s="860"/>
      <c r="G161" s="860"/>
      <c r="H161" s="860"/>
      <c r="I161" s="860"/>
      <c r="J161" s="861"/>
      <c r="K161" s="315"/>
    </row>
    <row r="162" spans="1:11" ht="24" customHeight="1">
      <c r="A162" s="1031"/>
      <c r="B162" s="1559" t="s">
        <v>471</v>
      </c>
      <c r="C162" s="1477"/>
      <c r="D162" s="1477"/>
      <c r="E162" s="1477"/>
      <c r="F162" s="1477"/>
      <c r="G162" s="1477"/>
      <c r="H162" s="1477"/>
      <c r="I162" s="1477"/>
      <c r="J162" s="1478"/>
      <c r="K162" s="1054"/>
    </row>
    <row r="163" spans="1:11" ht="28.5" customHeight="1">
      <c r="A163" s="1031"/>
      <c r="B163" s="805">
        <v>6</v>
      </c>
      <c r="C163" s="1555" t="s">
        <v>472</v>
      </c>
      <c r="D163" s="1477"/>
      <c r="E163" s="1477"/>
      <c r="F163" s="1477"/>
      <c r="G163" s="1477"/>
      <c r="H163" s="1478"/>
      <c r="I163" s="863" t="s">
        <v>354</v>
      </c>
      <c r="J163" s="864" t="s">
        <v>398</v>
      </c>
      <c r="K163" s="865"/>
    </row>
    <row r="164" spans="1:11" ht="54.75" customHeight="1">
      <c r="A164" s="1031"/>
      <c r="B164" s="1560" t="s">
        <v>473</v>
      </c>
      <c r="C164" s="1477"/>
      <c r="D164" s="1477"/>
      <c r="E164" s="1477"/>
      <c r="F164" s="1477"/>
      <c r="G164" s="1477"/>
      <c r="H164" s="1478"/>
      <c r="I164" s="434" t="s">
        <v>325</v>
      </c>
      <c r="J164" s="866">
        <f>SUM(J63+J116+J125+J151+J158)</f>
        <v>5821.8908455186665</v>
      </c>
      <c r="K164" s="1064"/>
    </row>
    <row r="165" spans="1:11" ht="20.25" customHeight="1">
      <c r="A165" s="1031"/>
      <c r="B165" s="743" t="s">
        <v>312</v>
      </c>
      <c r="C165" s="1561" t="s">
        <v>474</v>
      </c>
      <c r="D165" s="1477"/>
      <c r="E165" s="1477"/>
      <c r="F165" s="1477"/>
      <c r="G165" s="1477"/>
      <c r="H165" s="1478"/>
      <c r="I165" s="795">
        <f>'1-ABA-DE-CARREGAMENTO'!K85</f>
        <v>0.06</v>
      </c>
      <c r="J165" s="796">
        <f>ROUND(I165*J164,2)</f>
        <v>349.31</v>
      </c>
      <c r="K165" s="1049"/>
    </row>
    <row r="166" spans="1:11" ht="51" customHeight="1">
      <c r="A166" s="1031"/>
      <c r="B166" s="1560" t="s">
        <v>475</v>
      </c>
      <c r="C166" s="1477"/>
      <c r="D166" s="1477"/>
      <c r="E166" s="1477"/>
      <c r="F166" s="1477"/>
      <c r="G166" s="1477"/>
      <c r="H166" s="1478"/>
      <c r="I166" s="868" t="s">
        <v>325</v>
      </c>
      <c r="J166" s="866">
        <f>SUM(J63+J116+J125+J151+J158+J165)</f>
        <v>6171.2008455186669</v>
      </c>
      <c r="K166" s="1064"/>
    </row>
    <row r="167" spans="1:11" ht="19.5" customHeight="1">
      <c r="A167" s="1031"/>
      <c r="B167" s="743" t="s">
        <v>314</v>
      </c>
      <c r="C167" s="1561" t="s">
        <v>251</v>
      </c>
      <c r="D167" s="1477"/>
      <c r="E167" s="1477"/>
      <c r="F167" s="1477"/>
      <c r="G167" s="1477"/>
      <c r="H167" s="1478"/>
      <c r="I167" s="795">
        <f>'1-ABA-DE-CARREGAMENTO'!K86</f>
        <v>0.06</v>
      </c>
      <c r="J167" s="796">
        <f>ROUND(I167*J166,2)</f>
        <v>370.27</v>
      </c>
      <c r="K167" s="1049"/>
    </row>
    <row r="168" spans="1:11" ht="54" customHeight="1">
      <c r="A168" s="1031"/>
      <c r="B168" s="1560" t="s">
        <v>476</v>
      </c>
      <c r="C168" s="1477"/>
      <c r="D168" s="1477"/>
      <c r="E168" s="1477"/>
      <c r="F168" s="1477"/>
      <c r="G168" s="1477"/>
      <c r="H168" s="1478"/>
      <c r="I168" s="868" t="s">
        <v>325</v>
      </c>
      <c r="J168" s="866">
        <f>SUM(J164+J165+J167)</f>
        <v>6541.4708455186665</v>
      </c>
      <c r="K168" s="1064"/>
    </row>
    <row r="169" spans="1:11" ht="18.75" customHeight="1">
      <c r="A169" s="1031"/>
      <c r="B169" s="870" t="s">
        <v>316</v>
      </c>
      <c r="C169" s="1559" t="s">
        <v>477</v>
      </c>
      <c r="D169" s="1477"/>
      <c r="E169" s="1477"/>
      <c r="F169" s="1477"/>
      <c r="G169" s="1477"/>
      <c r="H169" s="1478"/>
      <c r="I169" s="871" t="s">
        <v>325</v>
      </c>
      <c r="J169" s="769" t="s">
        <v>325</v>
      </c>
      <c r="K169" s="1046"/>
    </row>
    <row r="170" spans="1:11" ht="18.75" customHeight="1">
      <c r="A170" s="1031"/>
      <c r="B170" s="743"/>
      <c r="C170" s="1589" t="s">
        <v>478</v>
      </c>
      <c r="D170" s="1477"/>
      <c r="E170" s="1477"/>
      <c r="F170" s="1477"/>
      <c r="G170" s="1477"/>
      <c r="H170" s="1478"/>
      <c r="I170" s="871" t="s">
        <v>325</v>
      </c>
      <c r="J170" s="769" t="s">
        <v>325</v>
      </c>
      <c r="K170" s="1046"/>
    </row>
    <row r="171" spans="1:11" ht="19.5" customHeight="1">
      <c r="A171" s="1031"/>
      <c r="B171" s="743"/>
      <c r="C171" s="1590" t="s">
        <v>1332</v>
      </c>
      <c r="D171" s="1477"/>
      <c r="E171" s="1477"/>
      <c r="F171" s="1477"/>
      <c r="G171" s="1477"/>
      <c r="H171" s="1478"/>
      <c r="I171" s="760">
        <f>'1-ABA-DE-CARREGAMENTO'!E28</f>
        <v>1.6500000000000001E-2</v>
      </c>
      <c r="J171" s="1281">
        <f t="shared" ref="J171:J172" si="6">ROUND(($J$168/(1-$I$180))*I171,2)</f>
        <v>121.62</v>
      </c>
      <c r="K171" s="1065"/>
    </row>
    <row r="172" spans="1:11" ht="19.5" customHeight="1">
      <c r="A172" s="1031"/>
      <c r="B172" s="743"/>
      <c r="C172" s="1590" t="s">
        <v>1333</v>
      </c>
      <c r="D172" s="1477"/>
      <c r="E172" s="1477"/>
      <c r="F172" s="1477"/>
      <c r="G172" s="1477"/>
      <c r="H172" s="1478"/>
      <c r="I172" s="760">
        <f>'1-ABA-DE-CARREGAMENTO'!F28</f>
        <v>7.5999999999999998E-2</v>
      </c>
      <c r="J172" s="1281">
        <f t="shared" si="6"/>
        <v>560.16999999999996</v>
      </c>
      <c r="K172" s="1065"/>
    </row>
    <row r="173" spans="1:11" ht="24.75" customHeight="1">
      <c r="A173" s="1031"/>
      <c r="B173" s="743"/>
      <c r="C173" s="1577" t="s">
        <v>1334</v>
      </c>
      <c r="D173" s="1477"/>
      <c r="E173" s="1477"/>
      <c r="F173" s="1477"/>
      <c r="G173" s="1477"/>
      <c r="H173" s="1478"/>
      <c r="I173" s="872" t="s">
        <v>325</v>
      </c>
      <c r="J173" s="769" t="s">
        <v>325</v>
      </c>
      <c r="K173" s="1046"/>
    </row>
    <row r="174" spans="1:11" ht="27" customHeight="1">
      <c r="A174" s="1031"/>
      <c r="B174" s="743"/>
      <c r="C174" s="1577" t="s">
        <v>1335</v>
      </c>
      <c r="D174" s="1477"/>
      <c r="E174" s="1477"/>
      <c r="F174" s="1477"/>
      <c r="G174" s="1477"/>
      <c r="H174" s="1478"/>
      <c r="I174" s="872" t="s">
        <v>325</v>
      </c>
      <c r="J174" s="769" t="s">
        <v>325</v>
      </c>
      <c r="K174" s="1046"/>
    </row>
    <row r="175" spans="1:11" ht="15.75" customHeight="1">
      <c r="A175" s="1031"/>
      <c r="B175" s="743"/>
      <c r="C175" s="1577" t="s">
        <v>483</v>
      </c>
      <c r="D175" s="1477"/>
      <c r="E175" s="1477"/>
      <c r="F175" s="1477"/>
      <c r="G175" s="1477"/>
      <c r="H175" s="1477"/>
      <c r="I175" s="1066" t="s">
        <v>325</v>
      </c>
      <c r="J175" s="1282" t="s">
        <v>325</v>
      </c>
      <c r="K175" s="1067"/>
    </row>
    <row r="176" spans="1:11" ht="15.75" customHeight="1">
      <c r="A176" s="1031"/>
      <c r="B176" s="743"/>
      <c r="C176" s="1577" t="s">
        <v>484</v>
      </c>
      <c r="D176" s="1477"/>
      <c r="E176" s="1477"/>
      <c r="F176" s="1477"/>
      <c r="G176" s="1477"/>
      <c r="H176" s="1477"/>
      <c r="I176" s="1066" t="s">
        <v>325</v>
      </c>
      <c r="J176" s="1282" t="s">
        <v>325</v>
      </c>
      <c r="K176" s="1067"/>
    </row>
    <row r="177" spans="1:11" ht="15.75" customHeight="1">
      <c r="A177" s="1031"/>
      <c r="B177" s="743"/>
      <c r="C177" s="1577" t="s">
        <v>1336</v>
      </c>
      <c r="D177" s="1477"/>
      <c r="E177" s="1477"/>
      <c r="F177" s="1477"/>
      <c r="G177" s="1477"/>
      <c r="H177" s="1478"/>
      <c r="I177" s="873">
        <f>'1-ABA-DE-CARREGAMENTO'!D87</f>
        <v>0.02</v>
      </c>
      <c r="J177" s="1281">
        <f>ROUND(($J$168/(1-$I$180))*I177,2)</f>
        <v>147.41</v>
      </c>
      <c r="K177" s="1065"/>
    </row>
    <row r="178" spans="1:11" ht="15.75" customHeight="1">
      <c r="A178" s="1031"/>
      <c r="B178" s="1585" t="s">
        <v>441</v>
      </c>
      <c r="C178" s="1477"/>
      <c r="D178" s="1477"/>
      <c r="E178" s="1477"/>
      <c r="F178" s="1477"/>
      <c r="G178" s="1477"/>
      <c r="H178" s="1477"/>
      <c r="I178" s="1478"/>
      <c r="J178" s="788">
        <f>SUM(J165+J167+J171+J172+J177)</f>
        <v>1548.78</v>
      </c>
      <c r="K178" s="1049"/>
    </row>
    <row r="179" spans="1:11" ht="15.75" customHeight="1">
      <c r="A179" s="1031"/>
      <c r="B179" s="1673"/>
      <c r="C179" s="1477"/>
      <c r="D179" s="1477"/>
      <c r="E179" s="1477"/>
      <c r="F179" s="1477"/>
      <c r="G179" s="1477"/>
      <c r="H179" s="1477"/>
      <c r="I179" s="1477"/>
      <c r="J179" s="1478"/>
      <c r="K179" s="1056"/>
    </row>
    <row r="180" spans="1:11" ht="15.75" customHeight="1">
      <c r="A180" s="1031"/>
      <c r="B180" s="1682" t="s">
        <v>486</v>
      </c>
      <c r="C180" s="1477"/>
      <c r="D180" s="1477"/>
      <c r="E180" s="1477"/>
      <c r="F180" s="1477"/>
      <c r="G180" s="1477"/>
      <c r="H180" s="1478"/>
      <c r="I180" s="874">
        <f t="shared" ref="I180:J180" si="7">SUM(I171:I177)</f>
        <v>0.1125</v>
      </c>
      <c r="J180" s="866">
        <f t="shared" si="7"/>
        <v>829.19999999999993</v>
      </c>
      <c r="K180" s="1064"/>
    </row>
    <row r="181" spans="1:11" ht="15.75" customHeight="1">
      <c r="A181" s="1031"/>
      <c r="B181" s="1683" t="s">
        <v>487</v>
      </c>
      <c r="C181" s="1419"/>
      <c r="D181" s="1686" t="s">
        <v>488</v>
      </c>
      <c r="E181" s="1419"/>
      <c r="F181" s="1419"/>
      <c r="G181" s="1419"/>
      <c r="H181" s="1419"/>
      <c r="I181" s="1419"/>
      <c r="J181" s="1539"/>
      <c r="K181" s="875"/>
    </row>
    <row r="182" spans="1:11" ht="15.75" customHeight="1">
      <c r="A182" s="1031"/>
      <c r="B182" s="1684"/>
      <c r="C182" s="1419"/>
      <c r="D182" s="1687" t="s">
        <v>489</v>
      </c>
      <c r="E182" s="1419"/>
      <c r="F182" s="1419"/>
      <c r="G182" s="1419"/>
      <c r="H182" s="1419"/>
      <c r="I182" s="1419"/>
      <c r="J182" s="1539"/>
      <c r="K182" s="877"/>
    </row>
    <row r="183" spans="1:11" ht="15.75" customHeight="1">
      <c r="A183" s="1031"/>
      <c r="B183" s="1685"/>
      <c r="C183" s="1575"/>
      <c r="D183" s="1688" t="s">
        <v>490</v>
      </c>
      <c r="E183" s="1575"/>
      <c r="F183" s="1575"/>
      <c r="G183" s="1575"/>
      <c r="H183" s="1575"/>
      <c r="I183" s="1575"/>
      <c r="J183" s="1608"/>
      <c r="K183" s="875"/>
    </row>
    <row r="184" spans="1:11" ht="15.75" customHeight="1">
      <c r="A184" s="1031"/>
      <c r="B184" s="1689"/>
      <c r="C184" s="1477"/>
      <c r="D184" s="1477"/>
      <c r="E184" s="1477"/>
      <c r="F184" s="1477"/>
      <c r="G184" s="1477"/>
      <c r="H184" s="1477"/>
      <c r="I184" s="1477"/>
      <c r="J184" s="1478"/>
      <c r="K184" s="1068"/>
    </row>
    <row r="185" spans="1:11" ht="21" customHeight="1">
      <c r="A185" s="1031"/>
      <c r="B185" s="1617" t="s">
        <v>491</v>
      </c>
      <c r="C185" s="1477"/>
      <c r="D185" s="1477"/>
      <c r="E185" s="1477"/>
      <c r="F185" s="1477"/>
      <c r="G185" s="1477"/>
      <c r="H185" s="1477"/>
      <c r="I185" s="1477"/>
      <c r="J185" s="1478"/>
      <c r="K185" s="730"/>
    </row>
    <row r="186" spans="1:11" ht="15.75" customHeight="1">
      <c r="A186" s="1031"/>
      <c r="B186" s="1673"/>
      <c r="C186" s="1477"/>
      <c r="D186" s="1477"/>
      <c r="E186" s="1477"/>
      <c r="F186" s="1477"/>
      <c r="G186" s="1477"/>
      <c r="H186" s="1477"/>
      <c r="I186" s="1477"/>
      <c r="J186" s="1478"/>
      <c r="K186" s="1056"/>
    </row>
    <row r="187" spans="1:11" ht="15.75" customHeight="1">
      <c r="A187" s="1031"/>
      <c r="B187" s="1674" t="s">
        <v>1337</v>
      </c>
      <c r="C187" s="1477"/>
      <c r="D187" s="1477"/>
      <c r="E187" s="1477"/>
      <c r="F187" s="1477"/>
      <c r="G187" s="1477"/>
      <c r="H187" s="1477"/>
      <c r="I187" s="1477"/>
      <c r="J187" s="1478"/>
      <c r="K187" s="828"/>
    </row>
    <row r="188" spans="1:11" ht="15.75" customHeight="1">
      <c r="A188" s="1031"/>
      <c r="B188" s="1572" t="s">
        <v>493</v>
      </c>
      <c r="C188" s="1477"/>
      <c r="D188" s="1477"/>
      <c r="E188" s="1477"/>
      <c r="F188" s="1477"/>
      <c r="G188" s="1477"/>
      <c r="H188" s="1477"/>
      <c r="I188" s="1478"/>
      <c r="J188" s="863" t="s">
        <v>390</v>
      </c>
      <c r="K188" s="697"/>
    </row>
    <row r="189" spans="1:11" ht="15.75" customHeight="1">
      <c r="A189" s="1031"/>
      <c r="B189" s="880" t="s">
        <v>312</v>
      </c>
      <c r="C189" s="1599" t="s">
        <v>494</v>
      </c>
      <c r="D189" s="1477"/>
      <c r="E189" s="1477"/>
      <c r="F189" s="1477"/>
      <c r="G189" s="1477"/>
      <c r="H189" s="1477"/>
      <c r="I189" s="1477"/>
      <c r="J189" s="881">
        <f>J63</f>
        <v>2925.11</v>
      </c>
      <c r="K189" s="789"/>
    </row>
    <row r="190" spans="1:11" ht="15.75" customHeight="1">
      <c r="A190" s="1031"/>
      <c r="B190" s="880" t="s">
        <v>314</v>
      </c>
      <c r="C190" s="1599" t="s">
        <v>495</v>
      </c>
      <c r="D190" s="1477"/>
      <c r="E190" s="1477"/>
      <c r="F190" s="1477"/>
      <c r="G190" s="1477"/>
      <c r="H190" s="1477"/>
      <c r="I190" s="1477"/>
      <c r="J190" s="881">
        <f>J116</f>
        <v>2308.0381577999997</v>
      </c>
      <c r="K190" s="789"/>
    </row>
    <row r="191" spans="1:11" ht="15.75" customHeight="1">
      <c r="A191" s="1031"/>
      <c r="B191" s="880" t="s">
        <v>316</v>
      </c>
      <c r="C191" s="1599" t="s">
        <v>496</v>
      </c>
      <c r="D191" s="1477"/>
      <c r="E191" s="1477"/>
      <c r="F191" s="1477"/>
      <c r="G191" s="1477"/>
      <c r="H191" s="1477"/>
      <c r="I191" s="1477"/>
      <c r="J191" s="881">
        <f>J125</f>
        <v>163.19999999999999</v>
      </c>
      <c r="K191" s="789"/>
    </row>
    <row r="192" spans="1:11" ht="15.75" customHeight="1">
      <c r="A192" s="1031"/>
      <c r="B192" s="880" t="s">
        <v>318</v>
      </c>
      <c r="C192" s="1599" t="s">
        <v>497</v>
      </c>
      <c r="D192" s="1477"/>
      <c r="E192" s="1477"/>
      <c r="F192" s="1477"/>
      <c r="G192" s="1477"/>
      <c r="H192" s="1477"/>
      <c r="I192" s="1477"/>
      <c r="J192" s="881">
        <f>J151</f>
        <v>425.54268771866668</v>
      </c>
      <c r="K192" s="789"/>
    </row>
    <row r="193" spans="1:11" ht="15.75" customHeight="1">
      <c r="A193" s="1031"/>
      <c r="B193" s="880" t="s">
        <v>360</v>
      </c>
      <c r="C193" s="1599" t="s">
        <v>498</v>
      </c>
      <c r="D193" s="1477"/>
      <c r="E193" s="1477"/>
      <c r="F193" s="1477"/>
      <c r="G193" s="1477"/>
      <c r="H193" s="1477"/>
      <c r="I193" s="1477"/>
      <c r="J193" s="881">
        <f>J158</f>
        <v>0</v>
      </c>
      <c r="K193" s="789"/>
    </row>
    <row r="194" spans="1:11" ht="15.75" customHeight="1">
      <c r="A194" s="1031"/>
      <c r="B194" s="1600" t="s">
        <v>499</v>
      </c>
      <c r="C194" s="1477"/>
      <c r="D194" s="1477"/>
      <c r="E194" s="1477"/>
      <c r="F194" s="1477"/>
      <c r="G194" s="1477"/>
      <c r="H194" s="1477"/>
      <c r="I194" s="1521"/>
      <c r="J194" s="857">
        <f>ROUND(SUM(J189:J193),2)</f>
        <v>5821.89</v>
      </c>
      <c r="K194" s="789"/>
    </row>
    <row r="195" spans="1:11" ht="15.75" customHeight="1">
      <c r="A195" s="1031"/>
      <c r="B195" s="882" t="s">
        <v>364</v>
      </c>
      <c r="C195" s="1599" t="s">
        <v>471</v>
      </c>
      <c r="D195" s="1477"/>
      <c r="E195" s="1477"/>
      <c r="F195" s="1477"/>
      <c r="G195" s="1477"/>
      <c r="H195" s="1477"/>
      <c r="I195" s="1477"/>
      <c r="J195" s="881">
        <f>J178</f>
        <v>1548.78</v>
      </c>
      <c r="K195" s="789"/>
    </row>
    <row r="196" spans="1:11" ht="15.75" customHeight="1">
      <c r="A196" s="1031"/>
      <c r="B196" s="1600" t="s">
        <v>647</v>
      </c>
      <c r="C196" s="1477"/>
      <c r="D196" s="1477"/>
      <c r="E196" s="1477"/>
      <c r="F196" s="1477"/>
      <c r="G196" s="1477"/>
      <c r="H196" s="1477"/>
      <c r="I196" s="1521"/>
      <c r="J196" s="857">
        <f>J194+J195</f>
        <v>7370.67</v>
      </c>
      <c r="K196" s="789"/>
    </row>
    <row r="197" spans="1:11" ht="34.5" customHeight="1">
      <c r="A197" s="1031"/>
      <c r="B197" s="1717" t="s">
        <v>501</v>
      </c>
      <c r="C197" s="1477"/>
      <c r="D197" s="1477"/>
      <c r="E197" s="1477"/>
      <c r="F197" s="1477"/>
      <c r="G197" s="1477"/>
      <c r="H197" s="1477"/>
      <c r="I197" s="1477"/>
      <c r="J197" s="1478"/>
      <c r="K197" s="1014"/>
    </row>
    <row r="198" spans="1:11" ht="9" customHeight="1">
      <c r="A198" s="1031"/>
      <c r="B198" s="1718"/>
      <c r="C198" s="1477"/>
      <c r="D198" s="1477"/>
      <c r="E198" s="1477"/>
      <c r="F198" s="1477"/>
      <c r="G198" s="1477"/>
      <c r="H198" s="1477"/>
      <c r="I198" s="1477"/>
      <c r="J198" s="1478"/>
      <c r="K198" s="884"/>
    </row>
    <row r="199" spans="1:11" ht="15.75" customHeight="1">
      <c r="A199" s="1031"/>
      <c r="B199" s="885"/>
      <c r="C199" s="723"/>
      <c r="D199" s="723"/>
      <c r="E199" s="723"/>
      <c r="F199" s="723"/>
      <c r="G199" s="723"/>
      <c r="H199" s="723"/>
      <c r="I199" s="1069"/>
      <c r="J199" s="1070"/>
      <c r="K199" s="1069"/>
    </row>
    <row r="200" spans="1:11" ht="15.75" customHeight="1">
      <c r="A200" s="1031"/>
      <c r="B200" s="1693" t="s">
        <v>1228</v>
      </c>
      <c r="C200" s="1419"/>
      <c r="D200" s="1419"/>
      <c r="E200" s="1419"/>
      <c r="F200" s="1419"/>
      <c r="G200" s="1419"/>
      <c r="H200" s="1419"/>
      <c r="I200" s="1419"/>
      <c r="J200" s="1539"/>
      <c r="K200" s="724"/>
    </row>
    <row r="201" spans="1:11" ht="69.75" customHeight="1">
      <c r="A201" s="1031"/>
      <c r="B201" s="1641" t="s">
        <v>503</v>
      </c>
      <c r="C201" s="1477"/>
      <c r="D201" s="1477"/>
      <c r="E201" s="1478"/>
      <c r="F201" s="889" t="s">
        <v>648</v>
      </c>
      <c r="G201" s="890"/>
      <c r="H201" s="891" t="s">
        <v>506</v>
      </c>
      <c r="I201" s="1641" t="s">
        <v>507</v>
      </c>
      <c r="J201" s="1478"/>
      <c r="K201" s="697"/>
    </row>
    <row r="202" spans="1:11" ht="33" hidden="1" customHeight="1" outlineLevel="1">
      <c r="A202" s="1031"/>
      <c r="B202" s="1577" t="s">
        <v>508</v>
      </c>
      <c r="C202" s="1477"/>
      <c r="D202" s="1477"/>
      <c r="E202" s="1478"/>
      <c r="F202" s="1694">
        <v>0</v>
      </c>
      <c r="G202" s="1478"/>
      <c r="H202" s="892">
        <f t="shared" ref="H202:H203" si="8">E202*F202</f>
        <v>0</v>
      </c>
      <c r="I202" s="1694">
        <f t="shared" ref="I202:I203" si="9">F202*H202</f>
        <v>0</v>
      </c>
      <c r="J202" s="1478"/>
      <c r="K202" s="770"/>
    </row>
    <row r="203" spans="1:11" ht="33" hidden="1" customHeight="1" outlineLevel="1">
      <c r="A203" s="1031"/>
      <c r="B203" s="1577" t="s">
        <v>509</v>
      </c>
      <c r="C203" s="1477"/>
      <c r="D203" s="1477"/>
      <c r="E203" s="1478"/>
      <c r="F203" s="1694">
        <v>0</v>
      </c>
      <c r="G203" s="1478"/>
      <c r="H203" s="893">
        <f t="shared" si="8"/>
        <v>0</v>
      </c>
      <c r="I203" s="1694">
        <f t="shared" si="9"/>
        <v>0</v>
      </c>
      <c r="J203" s="1478"/>
      <c r="K203" s="770"/>
    </row>
    <row r="204" spans="1:11" ht="33" customHeight="1" collapsed="1">
      <c r="A204" s="1031"/>
      <c r="B204" s="1609" t="str">
        <f>B3</f>
        <v>NAO TEM MAIS POSTO 66</v>
      </c>
      <c r="C204" s="1477"/>
      <c r="D204" s="1477"/>
      <c r="E204" s="1478"/>
      <c r="F204" s="894">
        <f>J196</f>
        <v>7370.67</v>
      </c>
      <c r="G204" s="895">
        <f>I40</f>
        <v>1</v>
      </c>
      <c r="H204" s="1071"/>
      <c r="I204" s="1695">
        <f>F204*G204</f>
        <v>7370.67</v>
      </c>
      <c r="J204" s="1478"/>
      <c r="K204" s="770"/>
    </row>
    <row r="205" spans="1:11" ht="33" hidden="1" customHeight="1" outlineLevel="1">
      <c r="A205" s="1031"/>
      <c r="B205" s="1577" t="s">
        <v>511</v>
      </c>
      <c r="C205" s="1477"/>
      <c r="D205" s="1477"/>
      <c r="E205" s="1478"/>
      <c r="F205" s="1696">
        <v>0</v>
      </c>
      <c r="G205" s="1478"/>
      <c r="H205" s="898">
        <f t="shared" ref="H205:I205" si="10">E205*G205</f>
        <v>0</v>
      </c>
      <c r="I205" s="1696">
        <f t="shared" si="10"/>
        <v>0</v>
      </c>
      <c r="J205" s="1478"/>
      <c r="K205" s="770"/>
    </row>
    <row r="206" spans="1:11" ht="33" hidden="1" customHeight="1" outlineLevel="1">
      <c r="A206" s="1031"/>
      <c r="B206" s="1577" t="s">
        <v>512</v>
      </c>
      <c r="C206" s="1477"/>
      <c r="D206" s="1477"/>
      <c r="E206" s="1478"/>
      <c r="F206" s="1696">
        <v>0</v>
      </c>
      <c r="G206" s="1478"/>
      <c r="H206" s="898">
        <f t="shared" ref="H206:I206" si="11">E206*G206</f>
        <v>0</v>
      </c>
      <c r="I206" s="1696">
        <f t="shared" si="11"/>
        <v>0</v>
      </c>
      <c r="J206" s="1478"/>
      <c r="K206" s="770"/>
    </row>
    <row r="207" spans="1:11" ht="15.75" hidden="1" customHeight="1" outlineLevel="1">
      <c r="A207" s="1031"/>
      <c r="B207" s="1730" t="s">
        <v>1338</v>
      </c>
      <c r="C207" s="1477"/>
      <c r="D207" s="1477"/>
      <c r="E207" s="1478"/>
      <c r="F207" s="1694">
        <v>0</v>
      </c>
      <c r="G207" s="1478"/>
      <c r="H207" s="898">
        <f t="shared" ref="H207:I207" si="12">E207*G207</f>
        <v>0</v>
      </c>
      <c r="I207" s="1696">
        <f t="shared" si="12"/>
        <v>0</v>
      </c>
      <c r="J207" s="1478"/>
      <c r="K207" s="770"/>
    </row>
    <row r="208" spans="1:11" ht="30" customHeight="1" collapsed="1">
      <c r="A208" s="1031"/>
      <c r="B208" s="1699" t="s">
        <v>514</v>
      </c>
      <c r="C208" s="1477"/>
      <c r="D208" s="1477"/>
      <c r="E208" s="1477"/>
      <c r="F208" s="1477"/>
      <c r="G208" s="1478"/>
      <c r="H208" s="899">
        <f>I17</f>
        <v>0</v>
      </c>
      <c r="I208" s="1697">
        <f>H208*I204</f>
        <v>0</v>
      </c>
      <c r="J208" s="1478"/>
      <c r="K208" s="1283"/>
    </row>
    <row r="209" spans="1:11" ht="7.5" customHeight="1">
      <c r="A209" s="1031"/>
      <c r="B209" s="1723"/>
      <c r="C209" s="1705"/>
      <c r="D209" s="1705"/>
      <c r="E209" s="1705"/>
      <c r="F209" s="1705"/>
      <c r="G209" s="1705"/>
      <c r="H209" s="1705"/>
      <c r="I209" s="1705"/>
      <c r="J209" s="1706"/>
      <c r="K209" s="1056"/>
    </row>
    <row r="210" spans="1:11" ht="15.75" customHeight="1">
      <c r="A210" s="1031"/>
      <c r="B210" s="1703" t="s">
        <v>515</v>
      </c>
      <c r="C210" s="1575"/>
      <c r="D210" s="1575"/>
      <c r="E210" s="1575"/>
      <c r="F210" s="1575"/>
      <c r="G210" s="1575"/>
      <c r="H210" s="1575"/>
      <c r="I210" s="1575"/>
      <c r="J210" s="1608"/>
      <c r="K210" s="730"/>
    </row>
    <row r="211" spans="1:11" ht="7.5" customHeight="1">
      <c r="A211" s="1031"/>
      <c r="B211" s="1724"/>
      <c r="C211" s="1477"/>
      <c r="D211" s="1477"/>
      <c r="E211" s="1477"/>
      <c r="F211" s="1477"/>
      <c r="G211" s="1477"/>
      <c r="H211" s="1477"/>
      <c r="I211" s="1477"/>
      <c r="J211" s="1478"/>
      <c r="K211" s="1284"/>
    </row>
    <row r="212" spans="1:11" ht="15.75" customHeight="1">
      <c r="A212" s="1031"/>
      <c r="B212" s="1563" t="s">
        <v>516</v>
      </c>
      <c r="C212" s="1477"/>
      <c r="D212" s="1477"/>
      <c r="E212" s="1477"/>
      <c r="F212" s="1477"/>
      <c r="G212" s="1478"/>
      <c r="H212" s="1564">
        <f>$I$208</f>
        <v>0</v>
      </c>
      <c r="I212" s="1477"/>
      <c r="J212" s="1478"/>
      <c r="K212" s="901"/>
    </row>
    <row r="213" spans="1:11" ht="7.5" customHeight="1">
      <c r="A213" s="1031"/>
      <c r="B213" s="1725"/>
      <c r="C213" s="1528"/>
      <c r="D213" s="1528"/>
      <c r="E213" s="1528"/>
      <c r="F213" s="1528"/>
      <c r="G213" s="1528"/>
      <c r="H213" s="1528"/>
      <c r="I213" s="1528"/>
      <c r="J213" s="1566"/>
      <c r="K213" s="1285"/>
    </row>
    <row r="214" spans="1:11" ht="15.75" customHeight="1">
      <c r="A214" s="1031"/>
      <c r="B214" s="1563" t="s">
        <v>517</v>
      </c>
      <c r="C214" s="1477"/>
      <c r="D214" s="1477"/>
      <c r="E214" s="1477"/>
      <c r="F214" s="1477"/>
      <c r="G214" s="1478"/>
      <c r="H214" s="1567">
        <f>$I$11</f>
        <v>30</v>
      </c>
      <c r="I214" s="1477"/>
      <c r="J214" s="1478"/>
      <c r="K214" s="902"/>
    </row>
    <row r="215" spans="1:11" ht="7.5" customHeight="1">
      <c r="A215" s="1031"/>
      <c r="B215" s="1568"/>
      <c r="C215" s="1477"/>
      <c r="D215" s="1477"/>
      <c r="E215" s="1477"/>
      <c r="F215" s="1477"/>
      <c r="G215" s="1477"/>
      <c r="H215" s="1477"/>
      <c r="I215" s="1477"/>
      <c r="J215" s="1478"/>
      <c r="K215" s="903"/>
    </row>
    <row r="216" spans="1:11" ht="15.75" customHeight="1">
      <c r="A216" s="1031"/>
      <c r="B216" s="1563" t="s">
        <v>1339</v>
      </c>
      <c r="C216" s="1477"/>
      <c r="D216" s="1477"/>
      <c r="E216" s="1477"/>
      <c r="F216" s="1477"/>
      <c r="G216" s="1478"/>
      <c r="H216" s="1569">
        <f>ROUND(H212*H214,2)</f>
        <v>0</v>
      </c>
      <c r="I216" s="1477"/>
      <c r="J216" s="1478"/>
      <c r="K216" s="1286"/>
    </row>
    <row r="217" spans="1:11" ht="7.5" customHeight="1">
      <c r="A217" s="1031"/>
      <c r="B217" s="1570"/>
      <c r="C217" s="1477"/>
      <c r="D217" s="1477"/>
      <c r="E217" s="1477"/>
      <c r="F217" s="1477"/>
      <c r="G217" s="1477"/>
      <c r="H217" s="1477"/>
      <c r="I217" s="1477"/>
      <c r="J217" s="1478"/>
      <c r="K217" s="723"/>
    </row>
    <row r="218" spans="1:11" ht="15.75" customHeight="1">
      <c r="A218" s="1031"/>
      <c r="B218" s="1031"/>
      <c r="C218" s="1031"/>
      <c r="D218" s="1031"/>
      <c r="E218" s="1031"/>
      <c r="F218" s="1031"/>
      <c r="G218" s="1031"/>
      <c r="H218" s="1031"/>
      <c r="I218" s="1031"/>
      <c r="J218" s="1031"/>
      <c r="K218" s="1031"/>
    </row>
    <row r="219" spans="1:11" ht="34.5" customHeight="1">
      <c r="B219" s="1746" t="s">
        <v>1231</v>
      </c>
      <c r="C219" s="1456"/>
      <c r="D219" s="1456"/>
      <c r="E219" s="1456"/>
      <c r="F219" s="1456"/>
      <c r="G219" s="1456"/>
      <c r="H219" s="1456"/>
      <c r="I219" s="1456"/>
      <c r="J219" s="1475"/>
    </row>
    <row r="220" spans="1:11" ht="34.5" customHeight="1">
      <c r="B220" s="458"/>
      <c r="C220" s="458"/>
      <c r="D220" s="458"/>
      <c r="E220" s="458"/>
      <c r="F220" s="458"/>
      <c r="G220" s="458"/>
      <c r="H220" s="458"/>
      <c r="I220" s="458"/>
      <c r="J220" s="458"/>
    </row>
    <row r="221" spans="1:11" ht="34.5" customHeight="1">
      <c r="B221" s="1747" t="s">
        <v>1340</v>
      </c>
      <c r="C221" s="1477"/>
      <c r="D221" s="1521"/>
      <c r="E221" s="1292" t="s">
        <v>1233</v>
      </c>
      <c r="F221" s="1293" t="s">
        <v>1234</v>
      </c>
      <c r="G221" s="1294" t="s">
        <v>1235</v>
      </c>
      <c r="H221" s="1295" t="s">
        <v>1236</v>
      </c>
      <c r="I221" s="314"/>
      <c r="J221" s="314"/>
    </row>
    <row r="222" spans="1:11" ht="34.5" customHeight="1">
      <c r="B222" s="1296" t="str">
        <f>B45</f>
        <v>Módulo 1: Composição da Remuneração (por Posto)</v>
      </c>
      <c r="C222" s="1297"/>
      <c r="D222" s="1298"/>
      <c r="E222" s="1298" t="s">
        <v>1237</v>
      </c>
      <c r="F222" s="1299" t="s">
        <v>325</v>
      </c>
      <c r="G222" s="1300">
        <f>J58</f>
        <v>2925.11</v>
      </c>
      <c r="H222" s="1301">
        <f t="shared" ref="H222:H227" si="13">TRUNC(G222/$H$47,2)</f>
        <v>13.29</v>
      </c>
      <c r="I222" s="314"/>
      <c r="J222" s="314"/>
    </row>
    <row r="223" spans="1:11" ht="34.5" customHeight="1">
      <c r="B223" s="1296" t="str">
        <f>B67</f>
        <v>Módulo 2 : Encargos e Benefícios Anuais, Mensais e Diários</v>
      </c>
      <c r="C223" s="1297"/>
      <c r="D223" s="1298"/>
      <c r="E223" s="1298" t="s">
        <v>1238</v>
      </c>
      <c r="F223" s="1302">
        <f>G223/G222</f>
        <v>0.48992345587003561</v>
      </c>
      <c r="G223" s="1300">
        <f>J113+J114</f>
        <v>1433.08</v>
      </c>
      <c r="H223" s="1301">
        <f t="shared" si="13"/>
        <v>6.51</v>
      </c>
      <c r="I223" s="314"/>
      <c r="J223" s="314"/>
    </row>
    <row r="224" spans="1:11" ht="34.5" customHeight="1">
      <c r="B224" s="1296" t="str">
        <f>B118</f>
        <v>Módulo 3 - Provisão para Rescisão</v>
      </c>
      <c r="C224" s="1297"/>
      <c r="D224" s="1298"/>
      <c r="E224" s="1298" t="s">
        <v>1237</v>
      </c>
      <c r="F224" s="1302">
        <f>G224/G222</f>
        <v>5.5792773605095186E-2</v>
      </c>
      <c r="G224" s="1300">
        <f>J125</f>
        <v>163.19999999999999</v>
      </c>
      <c r="H224" s="1301">
        <f t="shared" si="13"/>
        <v>0.74</v>
      </c>
      <c r="I224" s="314"/>
      <c r="J224" s="314"/>
    </row>
    <row r="225" spans="2:10" ht="34.5" customHeight="1">
      <c r="B225" s="1296" t="str">
        <f>B127</f>
        <v>Módulo 4 - Custo de Reposição do Profissional Ausente</v>
      </c>
      <c r="C225" s="1297"/>
      <c r="D225" s="1298"/>
      <c r="E225" s="1298" t="s">
        <v>1239</v>
      </c>
      <c r="F225" s="1302">
        <f t="shared" ref="F225:F226" si="14">G225/SUM($G$222:$G$227)</f>
        <v>0</v>
      </c>
      <c r="G225" s="1300">
        <f>J149*0</f>
        <v>0</v>
      </c>
      <c r="H225" s="1301">
        <f t="shared" si="13"/>
        <v>0</v>
      </c>
      <c r="I225" s="314"/>
      <c r="J225" s="314"/>
    </row>
    <row r="226" spans="2:10" ht="34.5" customHeight="1">
      <c r="B226" s="1296" t="str">
        <f>B153</f>
        <v>Módulo 5 – Insumos Diversos</v>
      </c>
      <c r="C226" s="1297"/>
      <c r="D226" s="1298"/>
      <c r="E226" s="1298" t="s">
        <v>1239</v>
      </c>
      <c r="F226" s="1302">
        <f t="shared" si="14"/>
        <v>0</v>
      </c>
      <c r="G226" s="1300">
        <f>J158*0</f>
        <v>0</v>
      </c>
      <c r="H226" s="1301">
        <f t="shared" si="13"/>
        <v>0</v>
      </c>
      <c r="I226" s="314"/>
      <c r="J226" s="314"/>
    </row>
    <row r="227" spans="2:10" ht="34.5" customHeight="1">
      <c r="B227" s="1296" t="str">
        <f>B162</f>
        <v>Módulo 6 - Custos Indiretos, Lucro e Tributos</v>
      </c>
      <c r="C227" s="1297"/>
      <c r="D227" s="1298"/>
      <c r="E227" s="1298" t="s">
        <v>1237</v>
      </c>
      <c r="F227" s="1302">
        <f>G227/G222</f>
        <v>0.52947752392217728</v>
      </c>
      <c r="G227" s="1300">
        <f>J178</f>
        <v>1548.78</v>
      </c>
      <c r="H227" s="1301">
        <f t="shared" si="13"/>
        <v>7.03</v>
      </c>
      <c r="I227" s="314"/>
      <c r="J227" s="314"/>
    </row>
    <row r="228" spans="2:10" ht="34.5" customHeight="1">
      <c r="B228" s="458"/>
      <c r="C228" s="458"/>
      <c r="D228" s="458"/>
      <c r="E228" s="1303"/>
      <c r="F228" s="1304">
        <f>SUM((F223:F227))</f>
        <v>1.0751937533973082</v>
      </c>
      <c r="G228" s="1305">
        <f t="shared" ref="G228:H228" si="15">G222+G223+G224+G225+G226+G227</f>
        <v>6070.17</v>
      </c>
      <c r="H228" s="1306">
        <f t="shared" si="15"/>
        <v>27.569999999999997</v>
      </c>
      <c r="I228" s="314"/>
      <c r="J228" s="314"/>
    </row>
    <row r="229" spans="2:10" ht="34.5" customHeight="1">
      <c r="B229" s="314"/>
      <c r="C229" s="458"/>
      <c r="D229" s="458"/>
      <c r="E229" s="1307"/>
      <c r="F229" s="314"/>
      <c r="G229" s="314"/>
      <c r="H229" s="314"/>
      <c r="I229" s="314"/>
      <c r="J229" s="314"/>
    </row>
    <row r="230" spans="2:10" ht="34.5" customHeight="1">
      <c r="B230" s="1308"/>
      <c r="C230" s="1308"/>
      <c r="D230" s="1308"/>
      <c r="E230" s="1309"/>
      <c r="F230" s="1310" t="s">
        <v>1240</v>
      </c>
      <c r="G230" s="1294" t="s">
        <v>1241</v>
      </c>
      <c r="H230" s="1311" t="s">
        <v>1242</v>
      </c>
      <c r="I230" s="1745" t="s">
        <v>1243</v>
      </c>
      <c r="J230" s="1623"/>
    </row>
    <row r="231" spans="2:10" ht="34.5" customHeight="1">
      <c r="B231" s="1312" t="s">
        <v>1244</v>
      </c>
      <c r="C231" s="1392"/>
      <c r="D231" s="1392"/>
      <c r="E231" s="1393"/>
      <c r="F231" s="1394">
        <v>0.2</v>
      </c>
      <c r="G231" s="1395">
        <f>H228*1.2</f>
        <v>33.083999999999996</v>
      </c>
      <c r="H231" s="1317" t="s">
        <v>1245</v>
      </c>
      <c r="I231" s="1685"/>
      <c r="J231" s="1608"/>
    </row>
    <row r="232" spans="2:10" ht="34.5" customHeight="1">
      <c r="B232" s="1757" t="s">
        <v>1341</v>
      </c>
      <c r="C232" s="1749"/>
      <c r="D232" s="1750"/>
      <c r="E232" s="1396" t="s">
        <v>363</v>
      </c>
      <c r="F232" s="1394">
        <v>1.2</v>
      </c>
      <c r="G232" s="1306">
        <f t="shared" ref="G232:G235" si="16">F232*$G$231</f>
        <v>39.700799999999994</v>
      </c>
      <c r="H232" s="1397">
        <v>0</v>
      </c>
      <c r="I232" s="1398"/>
      <c r="J232" s="1399">
        <f t="shared" ref="J232:J235" si="17">G232*H232</f>
        <v>0</v>
      </c>
    </row>
    <row r="233" spans="2:10" ht="34.5" customHeight="1">
      <c r="B233" s="1684"/>
      <c r="C233" s="1419"/>
      <c r="D233" s="1539"/>
      <c r="E233" s="1396" t="s">
        <v>1247</v>
      </c>
      <c r="F233" s="1394">
        <v>1.8</v>
      </c>
      <c r="G233" s="1306">
        <f t="shared" si="16"/>
        <v>59.551199999999994</v>
      </c>
      <c r="H233" s="1397">
        <v>0</v>
      </c>
      <c r="I233" s="1398"/>
      <c r="J233" s="1399">
        <f t="shared" si="17"/>
        <v>0</v>
      </c>
    </row>
    <row r="234" spans="2:10" ht="34.5" customHeight="1">
      <c r="B234" s="1684"/>
      <c r="C234" s="1419"/>
      <c r="D234" s="1539"/>
      <c r="E234" s="1396" t="s">
        <v>1248</v>
      </c>
      <c r="F234" s="1394">
        <v>1.5</v>
      </c>
      <c r="G234" s="1306">
        <f t="shared" si="16"/>
        <v>49.625999999999991</v>
      </c>
      <c r="H234" s="1397">
        <v>0</v>
      </c>
      <c r="I234" s="1398"/>
      <c r="J234" s="1399">
        <f t="shared" si="17"/>
        <v>0</v>
      </c>
    </row>
    <row r="235" spans="2:10" ht="34.5" customHeight="1">
      <c r="B235" s="1685"/>
      <c r="C235" s="1575"/>
      <c r="D235" s="1608"/>
      <c r="E235" s="1396" t="s">
        <v>1249</v>
      </c>
      <c r="F235" s="1394">
        <v>2</v>
      </c>
      <c r="G235" s="1306">
        <f t="shared" si="16"/>
        <v>66.167999999999992</v>
      </c>
      <c r="H235" s="1397">
        <v>0</v>
      </c>
      <c r="I235" s="1398"/>
      <c r="J235" s="1399">
        <f t="shared" si="17"/>
        <v>0</v>
      </c>
    </row>
    <row r="236" spans="2:10" ht="34.5" customHeight="1">
      <c r="B236" s="458"/>
      <c r="C236" s="458"/>
      <c r="D236" s="458"/>
      <c r="E236" s="458"/>
      <c r="F236" s="458"/>
      <c r="G236" s="458"/>
      <c r="H236" s="458"/>
      <c r="I236" s="458"/>
      <c r="J236" s="1400">
        <f>SUM(J232:J235)</f>
        <v>0</v>
      </c>
    </row>
    <row r="237" spans="2:10" ht="34.5" customHeight="1">
      <c r="B237" s="458"/>
      <c r="C237" s="458"/>
      <c r="D237" s="458"/>
      <c r="E237" s="458"/>
      <c r="F237" s="458"/>
      <c r="G237" s="458"/>
      <c r="H237" s="458"/>
      <c r="I237" s="458"/>
      <c r="J237" s="458"/>
    </row>
    <row r="238" spans="2:10" ht="34.5" customHeight="1">
      <c r="B238" s="1324" t="s">
        <v>559</v>
      </c>
      <c r="C238" s="1325" t="s">
        <v>560</v>
      </c>
      <c r="D238" s="1326" t="s">
        <v>1250</v>
      </c>
      <c r="E238" s="1324" t="s">
        <v>562</v>
      </c>
      <c r="F238" s="1326" t="s">
        <v>1251</v>
      </c>
      <c r="G238" s="1324" t="s">
        <v>1252</v>
      </c>
      <c r="H238" s="1326" t="s">
        <v>1253</v>
      </c>
      <c r="I238" s="1308"/>
      <c r="J238" s="1401"/>
    </row>
    <row r="239" spans="2:10" ht="60" customHeight="1">
      <c r="B239" s="1402" t="s">
        <v>1254</v>
      </c>
      <c r="C239" s="1403" t="s">
        <v>567</v>
      </c>
      <c r="D239" s="1404">
        <v>381.14</v>
      </c>
      <c r="E239" s="1405" t="s">
        <v>568</v>
      </c>
      <c r="F239" s="1406">
        <v>341.02</v>
      </c>
      <c r="G239" s="1407" t="s">
        <v>569</v>
      </c>
      <c r="H239" s="1408">
        <v>300.89999999999998</v>
      </c>
      <c r="I239" s="1409"/>
      <c r="J239" s="1410">
        <v>0</v>
      </c>
    </row>
    <row r="240" spans="2:10" ht="34.5" customHeight="1">
      <c r="B240" s="458"/>
      <c r="C240" s="458"/>
      <c r="D240" s="458"/>
      <c r="E240" s="458"/>
      <c r="F240" s="458"/>
      <c r="G240" s="458"/>
      <c r="H240" s="458"/>
      <c r="I240" s="458"/>
      <c r="J240" s="458"/>
    </row>
    <row r="241" spans="2:10" ht="54.75" customHeight="1">
      <c r="B241" s="1755" t="s">
        <v>1342</v>
      </c>
      <c r="C241" s="1477"/>
      <c r="D241" s="1477"/>
      <c r="E241" s="1477"/>
      <c r="F241" s="1477"/>
      <c r="G241" s="1478"/>
      <c r="H241" s="1411">
        <f>I45</f>
        <v>0</v>
      </c>
      <c r="I241" s="1756">
        <f>I208+J232+J233+J234+J235+J239</f>
        <v>0</v>
      </c>
      <c r="J241" s="1478"/>
    </row>
    <row r="242" spans="2:10" ht="15.75" customHeight="1"/>
    <row r="243" spans="2:10" ht="15.75" customHeight="1"/>
    <row r="244" spans="2:10" ht="15.75" customHeight="1"/>
    <row r="245" spans="2:10" ht="15.75" customHeight="1"/>
    <row r="246" spans="2:10" ht="15.75" customHeight="1"/>
    <row r="247" spans="2:10" ht="15.75" customHeight="1"/>
    <row r="248" spans="2:10" ht="15.75" customHeight="1"/>
    <row r="249" spans="2:10" ht="15.75" customHeight="1"/>
    <row r="250" spans="2:10" ht="15.75" customHeight="1"/>
    <row r="251" spans="2:10" ht="15.75" customHeight="1"/>
    <row r="252" spans="2:10" ht="15.75" customHeight="1"/>
    <row r="253" spans="2:10" ht="15.75" customHeight="1"/>
    <row r="254" spans="2:10" ht="15.75" customHeight="1"/>
    <row r="255" spans="2:10" ht="15.75" customHeight="1"/>
    <row r="256" spans="2:1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282">
    <mergeCell ref="C171:H171"/>
    <mergeCell ref="C172:H172"/>
    <mergeCell ref="C173:H173"/>
    <mergeCell ref="C174:H174"/>
    <mergeCell ref="C175:H175"/>
    <mergeCell ref="C176:H176"/>
    <mergeCell ref="B162:J162"/>
    <mergeCell ref="C163:H163"/>
    <mergeCell ref="B164:H164"/>
    <mergeCell ref="C165:H165"/>
    <mergeCell ref="B166:H166"/>
    <mergeCell ref="C167:H167"/>
    <mergeCell ref="B168:H168"/>
    <mergeCell ref="C169:H169"/>
    <mergeCell ref="C170:H170"/>
    <mergeCell ref="B152:J152"/>
    <mergeCell ref="B153:J153"/>
    <mergeCell ref="C154:I154"/>
    <mergeCell ref="C155:I155"/>
    <mergeCell ref="C156:I156"/>
    <mergeCell ref="C157:I157"/>
    <mergeCell ref="B158:I158"/>
    <mergeCell ref="B159:J159"/>
    <mergeCell ref="B160:J160"/>
    <mergeCell ref="C143:I143"/>
    <mergeCell ref="C144:I144"/>
    <mergeCell ref="B145:I145"/>
    <mergeCell ref="B146:J146"/>
    <mergeCell ref="B147:J147"/>
    <mergeCell ref="C148:I148"/>
    <mergeCell ref="C149:I149"/>
    <mergeCell ref="C150:I150"/>
    <mergeCell ref="B151:I151"/>
    <mergeCell ref="C134:G134"/>
    <mergeCell ref="C135:I135"/>
    <mergeCell ref="C136:I136"/>
    <mergeCell ref="C137:I137"/>
    <mergeCell ref="C138:I138"/>
    <mergeCell ref="C139:I139"/>
    <mergeCell ref="B140:I140"/>
    <mergeCell ref="B141:J141"/>
    <mergeCell ref="B142:J142"/>
    <mergeCell ref="C124:H124"/>
    <mergeCell ref="B125:I125"/>
    <mergeCell ref="B126:J126"/>
    <mergeCell ref="B127:J127"/>
    <mergeCell ref="B128:J128"/>
    <mergeCell ref="B129:J129"/>
    <mergeCell ref="B131:J131"/>
    <mergeCell ref="B132:J132"/>
    <mergeCell ref="C133:I133"/>
    <mergeCell ref="C115:I115"/>
    <mergeCell ref="B116:I116"/>
    <mergeCell ref="B117:J117"/>
    <mergeCell ref="B118:J118"/>
    <mergeCell ref="C119:I119"/>
    <mergeCell ref="C120:I120"/>
    <mergeCell ref="C121:H121"/>
    <mergeCell ref="C122:I122"/>
    <mergeCell ref="C123:I123"/>
    <mergeCell ref="C106:I106"/>
    <mergeCell ref="C107:I107"/>
    <mergeCell ref="B108:J108"/>
    <mergeCell ref="B109:J109"/>
    <mergeCell ref="B110:J110"/>
    <mergeCell ref="B111:J111"/>
    <mergeCell ref="C112:I112"/>
    <mergeCell ref="C113:I113"/>
    <mergeCell ref="C114:I114"/>
    <mergeCell ref="B95:B98"/>
    <mergeCell ref="C95:E98"/>
    <mergeCell ref="D102:E102"/>
    <mergeCell ref="G102:I102"/>
    <mergeCell ref="D99:E99"/>
    <mergeCell ref="D105:E105"/>
    <mergeCell ref="G99:H99"/>
    <mergeCell ref="B100:B102"/>
    <mergeCell ref="C100:C102"/>
    <mergeCell ref="D100:F100"/>
    <mergeCell ref="H100:I100"/>
    <mergeCell ref="D101:H101"/>
    <mergeCell ref="C103:I103"/>
    <mergeCell ref="G105:H105"/>
    <mergeCell ref="C85:H85"/>
    <mergeCell ref="B86:H86"/>
    <mergeCell ref="B88:J88"/>
    <mergeCell ref="B89:J89"/>
    <mergeCell ref="B90:J90"/>
    <mergeCell ref="C91:I91"/>
    <mergeCell ref="B92:B94"/>
    <mergeCell ref="C92:D94"/>
    <mergeCell ref="G93:H93"/>
    <mergeCell ref="E94:F94"/>
    <mergeCell ref="B62:J62"/>
    <mergeCell ref="B63:I63"/>
    <mergeCell ref="B64:J64"/>
    <mergeCell ref="B65:J65"/>
    <mergeCell ref="B66:J66"/>
    <mergeCell ref="B67:J67"/>
    <mergeCell ref="B68:J68"/>
    <mergeCell ref="C83:H83"/>
    <mergeCell ref="C84:H84"/>
    <mergeCell ref="C80:D80"/>
    <mergeCell ref="C81:H81"/>
    <mergeCell ref="C82:H82"/>
    <mergeCell ref="L94:Q94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71:H71"/>
    <mergeCell ref="B72:I72"/>
    <mergeCell ref="B73:J73"/>
    <mergeCell ref="B74:J74"/>
    <mergeCell ref="B75:J75"/>
    <mergeCell ref="B76:J76"/>
    <mergeCell ref="C77:H77"/>
    <mergeCell ref="C78:H78"/>
    <mergeCell ref="C79:H79"/>
    <mergeCell ref="C33:F33"/>
    <mergeCell ref="C34:F34"/>
    <mergeCell ref="G34:H34"/>
    <mergeCell ref="I34:J34"/>
    <mergeCell ref="C35:F35"/>
    <mergeCell ref="G35:H35"/>
    <mergeCell ref="I35:J35"/>
    <mergeCell ref="C69:I69"/>
    <mergeCell ref="C70:H70"/>
    <mergeCell ref="F49:H49"/>
    <mergeCell ref="C49:E49"/>
    <mergeCell ref="C50:F50"/>
    <mergeCell ref="G50:H50"/>
    <mergeCell ref="C51:D51"/>
    <mergeCell ref="C52:D52"/>
    <mergeCell ref="C53:D53"/>
    <mergeCell ref="C54:D54"/>
    <mergeCell ref="C55:D55"/>
    <mergeCell ref="C56:I56"/>
    <mergeCell ref="C57:I57"/>
    <mergeCell ref="B58:I58"/>
    <mergeCell ref="C59:I59"/>
    <mergeCell ref="C60:I60"/>
    <mergeCell ref="B61:I6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209:J209"/>
    <mergeCell ref="B210:J21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I204:J204"/>
    <mergeCell ref="I205:J205"/>
    <mergeCell ref="I206:J206"/>
    <mergeCell ref="I207:J207"/>
    <mergeCell ref="I208:J208"/>
    <mergeCell ref="B202:E202"/>
    <mergeCell ref="B203:E203"/>
    <mergeCell ref="F203:G203"/>
    <mergeCell ref="I203:J203"/>
    <mergeCell ref="B204:E204"/>
    <mergeCell ref="B205:E205"/>
    <mergeCell ref="F205:G205"/>
    <mergeCell ref="B206:E206"/>
    <mergeCell ref="F206:G206"/>
    <mergeCell ref="B207:E207"/>
    <mergeCell ref="F207:G207"/>
    <mergeCell ref="B208:G208"/>
    <mergeCell ref="B194:I194"/>
    <mergeCell ref="C195:I195"/>
    <mergeCell ref="B196:I196"/>
    <mergeCell ref="B197:J197"/>
    <mergeCell ref="B198:J198"/>
    <mergeCell ref="B200:J200"/>
    <mergeCell ref="B201:E201"/>
    <mergeCell ref="I201:J201"/>
    <mergeCell ref="F202:G202"/>
    <mergeCell ref="I202:J202"/>
    <mergeCell ref="B185:J185"/>
    <mergeCell ref="B186:J186"/>
    <mergeCell ref="B187:J187"/>
    <mergeCell ref="B188:I188"/>
    <mergeCell ref="C189:I189"/>
    <mergeCell ref="C190:I190"/>
    <mergeCell ref="C191:I191"/>
    <mergeCell ref="C192:I192"/>
    <mergeCell ref="C193:I193"/>
    <mergeCell ref="C177:H177"/>
    <mergeCell ref="B178:I178"/>
    <mergeCell ref="B179:J179"/>
    <mergeCell ref="B180:H180"/>
    <mergeCell ref="B181:C183"/>
    <mergeCell ref="D181:J181"/>
    <mergeCell ref="D182:J182"/>
    <mergeCell ref="D183:J183"/>
    <mergeCell ref="B184:J184"/>
    <mergeCell ref="B211:J211"/>
    <mergeCell ref="B212:G212"/>
    <mergeCell ref="H212:J212"/>
    <mergeCell ref="B213:J213"/>
    <mergeCell ref="B214:G214"/>
    <mergeCell ref="H214:J214"/>
    <mergeCell ref="B215:J215"/>
    <mergeCell ref="B241:G241"/>
    <mergeCell ref="I241:J241"/>
    <mergeCell ref="B216:G216"/>
    <mergeCell ref="H216:J216"/>
    <mergeCell ref="B217:J217"/>
    <mergeCell ref="B219:J219"/>
    <mergeCell ref="B221:D221"/>
    <mergeCell ref="I230:J231"/>
    <mergeCell ref="B232:D235"/>
  </mergeCells>
  <conditionalFormatting sqref="I48:I50">
    <cfRule type="cellIs" dxfId="5" priority="2" operator="equal">
      <formula>0</formula>
    </cfRule>
  </conditionalFormatting>
  <conditionalFormatting sqref="I121">
    <cfRule type="cellIs" dxfId="4" priority="1" operator="notEqual">
      <formula>"OK"</formula>
    </cfRule>
  </conditionalFormatting>
  <conditionalFormatting sqref="J134">
    <cfRule type="cellIs" dxfId="3" priority="4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9FF66"/>
  </sheetPr>
  <dimension ref="A1:K1000"/>
  <sheetViews>
    <sheetView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11.26953125" customWidth="1"/>
    <col min="4" max="4" width="13.26953125" customWidth="1"/>
    <col min="5" max="5" width="14.453125" customWidth="1"/>
    <col min="6" max="6" width="12.453125" customWidth="1"/>
    <col min="7" max="7" width="13.54296875" customWidth="1"/>
    <col min="8" max="8" width="14.453125" customWidth="1"/>
    <col min="9" max="9" width="11.26953125" customWidth="1"/>
    <col min="10" max="10" width="19.453125" customWidth="1"/>
    <col min="11" max="11" width="1.453125" customWidth="1"/>
  </cols>
  <sheetData>
    <row r="1" spans="1:11" ht="11.25" customHeight="1">
      <c r="A1" s="1031"/>
      <c r="B1" s="1031"/>
      <c r="C1" s="1031"/>
      <c r="D1" s="1031"/>
      <c r="E1" s="1031"/>
      <c r="F1" s="1031"/>
      <c r="G1" s="1031"/>
      <c r="H1" s="1031"/>
      <c r="I1" s="1031"/>
      <c r="J1" s="1291"/>
      <c r="K1" s="1031"/>
    </row>
    <row r="2" spans="1:11" ht="21.75" customHeight="1">
      <c r="A2" s="1031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</row>
    <row r="3" spans="1:11" ht="22.5" customHeight="1">
      <c r="A3" s="1031"/>
      <c r="B3" s="1737" t="str">
        <f>'1-ABA-DE-CARREGAMENTO'!L33</f>
        <v>A NÃO TEM MAIS POSTOS-77</v>
      </c>
      <c r="C3" s="1575"/>
      <c r="D3" s="1575"/>
      <c r="E3" s="1575"/>
      <c r="F3" s="1575"/>
      <c r="G3" s="1575"/>
      <c r="H3" s="1575"/>
      <c r="I3" s="1575"/>
      <c r="J3" s="1608"/>
      <c r="K3" s="720"/>
    </row>
    <row r="4" spans="1:11" ht="11.25" customHeight="1">
      <c r="A4" s="1031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</row>
    <row r="5" spans="1:11" ht="11.25" customHeight="1">
      <c r="A5" s="1031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</row>
    <row r="6" spans="1:11" ht="11.25" customHeight="1">
      <c r="A6" s="1031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</row>
    <row r="7" spans="1:11" ht="11.25" customHeight="1">
      <c r="A7" s="1031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</row>
    <row r="8" spans="1:11" ht="11.25" customHeight="1">
      <c r="A8" s="1031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</row>
    <row r="9" spans="1:11" ht="11.25" customHeight="1">
      <c r="A9" s="1031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</row>
    <row r="10" spans="1:11" ht="11.25" customHeight="1">
      <c r="A10" s="1031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VLOOKUP('1-ABA-DE-CARREGAMENTO'!L35,'DADOS-CADASTRAIS'!C6:O71,1,0)</f>
        <v>RS004627/2024</v>
      </c>
      <c r="J10" s="1478"/>
      <c r="K10" s="721"/>
    </row>
    <row r="11" spans="1:11" ht="11.25" customHeight="1">
      <c r="A11" s="1031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'1-ABA-DE-CARREGAMENTO'!L94</f>
        <v>30</v>
      </c>
      <c r="J11" s="1478"/>
      <c r="K11" s="721"/>
    </row>
    <row r="12" spans="1:11" ht="11.25" customHeight="1">
      <c r="A12" s="1031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</row>
    <row r="13" spans="1:11" ht="24" customHeight="1">
      <c r="A13" s="1031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</row>
    <row r="14" spans="1:11" ht="11.25" hidden="1" customHeight="1" outlineLevel="1">
      <c r="A14" s="1031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</row>
    <row r="15" spans="1:11" ht="11.25" hidden="1" customHeight="1" outlineLevel="1">
      <c r="A15" s="1031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</row>
    <row r="16" spans="1:11" ht="15" hidden="1" customHeight="1" outlineLevel="1">
      <c r="A16" s="1031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</row>
    <row r="17" spans="1:11" ht="11.25" customHeight="1" collapsed="1">
      <c r="A17" s="1031"/>
      <c r="B17" s="1611" t="str">
        <f>B3</f>
        <v>A NÃO TEM MAIS POSTOS-77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'1-ABA-DE-CARREGAMENTO'!L92</f>
        <v>0</v>
      </c>
      <c r="J17" s="1478"/>
      <c r="K17" s="728"/>
    </row>
    <row r="18" spans="1:11" ht="16.5" hidden="1" customHeight="1" outlineLevel="1">
      <c r="A18" s="1031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</row>
    <row r="19" spans="1:11" ht="11.25" hidden="1" customHeight="1" outlineLevel="1">
      <c r="A19" s="1031"/>
      <c r="B19" s="1611" t="s">
        <v>1343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</row>
    <row r="20" spans="1:11" ht="11.25" customHeight="1" collapsed="1">
      <c r="A20" s="1031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0</v>
      </c>
      <c r="J20" s="1478"/>
      <c r="K20" s="729"/>
    </row>
    <row r="21" spans="1:11" ht="11.25" customHeight="1">
      <c r="A21" s="1031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</row>
    <row r="22" spans="1:11" ht="11.25" customHeight="1">
      <c r="A22" s="1031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</row>
    <row r="23" spans="1:11" ht="11.25" customHeight="1">
      <c r="A23" s="1031"/>
      <c r="B23" s="1618"/>
      <c r="C23" s="1477"/>
      <c r="D23" s="1477"/>
      <c r="E23" s="1477"/>
      <c r="F23" s="1477"/>
      <c r="G23" s="1477"/>
      <c r="H23" s="1477"/>
      <c r="I23" s="1477"/>
      <c r="J23" s="1478"/>
      <c r="K23" s="459"/>
    </row>
    <row r="24" spans="1:11" ht="15" customHeight="1">
      <c r="A24" s="1031"/>
      <c r="B24" s="1726" t="s">
        <v>1344</v>
      </c>
      <c r="C24" s="1477"/>
      <c r="D24" s="1477"/>
      <c r="E24" s="1477"/>
      <c r="F24" s="1477"/>
      <c r="G24" s="1477"/>
      <c r="H24" s="1477"/>
      <c r="I24" s="1477"/>
      <c r="J24" s="1478"/>
      <c r="K24" s="1034"/>
    </row>
    <row r="25" spans="1:11" ht="15" customHeight="1">
      <c r="A25" s="1031"/>
      <c r="B25" s="1727"/>
      <c r="C25" s="1477"/>
      <c r="D25" s="1477"/>
      <c r="E25" s="1477"/>
      <c r="F25" s="1477"/>
      <c r="G25" s="1477"/>
      <c r="H25" s="1477"/>
      <c r="I25" s="1477"/>
      <c r="J25" s="1478"/>
      <c r="K25" s="1035"/>
    </row>
    <row r="26" spans="1:11" ht="11.2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</row>
    <row r="27" spans="1:11" ht="30.75" customHeight="1">
      <c r="A27" s="1031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'1-ABA-DE-CARREGAMENTO'!L33</f>
        <v>A NÃO TEM MAIS POSTOS-77</v>
      </c>
      <c r="J27" s="1478"/>
      <c r="K27" s="732"/>
    </row>
    <row r="28" spans="1:11" ht="11.25" customHeight="1">
      <c r="A28" s="1031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787"/>
      <c r="J28" s="1478"/>
      <c r="K28" s="734"/>
    </row>
    <row r="29" spans="1:11" ht="30" customHeight="1">
      <c r="A29" s="1031"/>
      <c r="B29" s="696">
        <v>3</v>
      </c>
      <c r="C29" s="1625" t="s">
        <v>336</v>
      </c>
      <c r="D29" s="1468"/>
      <c r="E29" s="1036">
        <v>200</v>
      </c>
      <c r="F29" s="737">
        <f>'1-ABA-DE-CARREGAMENTO'!L37</f>
        <v>1741.45</v>
      </c>
      <c r="G29" s="722" t="s">
        <v>1171</v>
      </c>
      <c r="H29" s="1276">
        <f>'1-ABA-DE-CARREGAMENTO'!L52</f>
        <v>220</v>
      </c>
      <c r="I29" s="1626">
        <f>F29/E29*H29</f>
        <v>1915.595</v>
      </c>
      <c r="J29" s="1478"/>
      <c r="K29" s="1037"/>
    </row>
    <row r="30" spans="1:11" ht="11.25" customHeight="1">
      <c r="A30" s="1031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</row>
    <row r="31" spans="1:11" ht="11.25" customHeight="1">
      <c r="A31" s="1031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788">
        <v>0</v>
      </c>
      <c r="J31" s="1478"/>
      <c r="K31" s="742"/>
    </row>
    <row r="32" spans="1:11" ht="12.75" customHeight="1">
      <c r="A32" s="1031"/>
      <c r="B32" s="1038">
        <v>6</v>
      </c>
      <c r="C32" s="1560" t="s">
        <v>1345</v>
      </c>
      <c r="D32" s="1477"/>
      <c r="E32" s="1477"/>
      <c r="F32" s="1477"/>
      <c r="G32" s="1477"/>
      <c r="H32" s="1478"/>
      <c r="I32" s="1630">
        <f>ROUND(I29/220,2)*0</f>
        <v>0</v>
      </c>
      <c r="J32" s="1478"/>
      <c r="K32" s="744"/>
    </row>
    <row r="33" spans="1:11" ht="24.75" customHeight="1">
      <c r="A33" s="1031"/>
      <c r="B33" s="1038">
        <v>7</v>
      </c>
      <c r="C33" s="1560" t="s">
        <v>1346</v>
      </c>
      <c r="D33" s="1477"/>
      <c r="E33" s="1477"/>
      <c r="F33" s="1478"/>
      <c r="G33" s="1631"/>
      <c r="H33" s="1478"/>
      <c r="I33" s="1630">
        <f>SUM(J47:J50)/220</f>
        <v>10.180886363636365</v>
      </c>
      <c r="J33" s="1478"/>
      <c r="K33" s="744"/>
    </row>
    <row r="34" spans="1:11" ht="24.75" customHeight="1">
      <c r="A34" s="1031"/>
      <c r="B34" s="1038">
        <v>8</v>
      </c>
      <c r="C34" s="1560" t="s">
        <v>1347</v>
      </c>
      <c r="D34" s="1477"/>
      <c r="E34" s="1477"/>
      <c r="F34" s="1478"/>
      <c r="G34" s="1631"/>
      <c r="H34" s="1478"/>
      <c r="I34" s="1630">
        <f>TRUNC(I33*1.5,2)*0</f>
        <v>0</v>
      </c>
      <c r="J34" s="1478"/>
      <c r="K34" s="744"/>
    </row>
    <row r="35" spans="1:11" ht="24.75" customHeight="1">
      <c r="A35" s="1031"/>
      <c r="B35" s="1038">
        <v>9</v>
      </c>
      <c r="C35" s="1560" t="s">
        <v>1348</v>
      </c>
      <c r="D35" s="1477"/>
      <c r="E35" s="1477"/>
      <c r="F35" s="1478"/>
      <c r="G35" s="1631" t="s">
        <v>344</v>
      </c>
      <c r="H35" s="1478"/>
      <c r="I35" s="1753">
        <f>I33*1.5</f>
        <v>15.271329545454547</v>
      </c>
      <c r="J35" s="1478"/>
      <c r="K35" s="1039"/>
    </row>
    <row r="36" spans="1:11" ht="24.75" customHeight="1">
      <c r="A36" s="1031"/>
      <c r="B36" s="1038">
        <v>10</v>
      </c>
      <c r="C36" s="1560" t="s">
        <v>1349</v>
      </c>
      <c r="D36" s="1477"/>
      <c r="E36" s="1477"/>
      <c r="F36" s="1477"/>
      <c r="G36" s="1477"/>
      <c r="H36" s="1478"/>
      <c r="I36" s="1630">
        <f>TRUNC(1.3*I32*0.2,2)</f>
        <v>0</v>
      </c>
      <c r="J36" s="1478"/>
      <c r="K36" s="744"/>
    </row>
    <row r="37" spans="1:11" ht="24.75" customHeight="1">
      <c r="A37" s="1031"/>
      <c r="B37" s="1038">
        <v>11</v>
      </c>
      <c r="C37" s="1560" t="s">
        <v>1350</v>
      </c>
      <c r="D37" s="1477"/>
      <c r="E37" s="1477"/>
      <c r="F37" s="1477"/>
      <c r="G37" s="1477"/>
      <c r="H37" s="1478"/>
      <c r="I37" s="1630">
        <f>I33*2</f>
        <v>20.361772727272729</v>
      </c>
      <c r="J37" s="1478"/>
      <c r="K37" s="744"/>
    </row>
    <row r="38" spans="1:11" ht="14.25" customHeight="1">
      <c r="A38" s="1031"/>
      <c r="B38" s="1038">
        <v>12</v>
      </c>
      <c r="C38" s="1560" t="s">
        <v>1351</v>
      </c>
      <c r="D38" s="1477"/>
      <c r="E38" s="1477"/>
      <c r="F38" s="1477"/>
      <c r="G38" s="1477"/>
      <c r="H38" s="1478"/>
      <c r="I38" s="1630">
        <f>I29*'1-ABA-DE-CARREGAMENTO'!D44</f>
        <v>0</v>
      </c>
      <c r="J38" s="1478"/>
      <c r="K38" s="744"/>
    </row>
    <row r="39" spans="1:11" ht="14.25" customHeight="1">
      <c r="A39" s="1031"/>
      <c r="B39" s="1038">
        <v>13</v>
      </c>
      <c r="C39" s="1560" t="s">
        <v>348</v>
      </c>
      <c r="D39" s="1477"/>
      <c r="E39" s="1477"/>
      <c r="F39" s="1477"/>
      <c r="G39" s="1477"/>
      <c r="H39" s="1478"/>
      <c r="I39" s="1630">
        <f>ROUND(I32/6,2)*1.3</f>
        <v>0</v>
      </c>
      <c r="J39" s="1478"/>
      <c r="K39" s="744"/>
    </row>
    <row r="40" spans="1:11" ht="11.25" customHeight="1">
      <c r="A40" s="1031"/>
      <c r="B40" s="1038">
        <v>14</v>
      </c>
      <c r="C40" s="1789" t="s">
        <v>349</v>
      </c>
      <c r="D40" s="1477"/>
      <c r="E40" s="1477"/>
      <c r="F40" s="1477"/>
      <c r="G40" s="1477"/>
      <c r="H40" s="1478"/>
      <c r="I40" s="1790">
        <f>'1-ABA-DE-CARREGAMENTO'!L93</f>
        <v>1</v>
      </c>
      <c r="J40" s="1478"/>
      <c r="K40" s="1040"/>
    </row>
    <row r="41" spans="1:11" ht="11.25" customHeight="1">
      <c r="A41" s="1031"/>
      <c r="B41" s="1038">
        <v>15</v>
      </c>
      <c r="C41" s="1789" t="s">
        <v>1352</v>
      </c>
      <c r="D41" s="1477"/>
      <c r="E41" s="1477"/>
      <c r="F41" s="1477"/>
      <c r="G41" s="1477"/>
      <c r="H41" s="1478"/>
      <c r="I41" s="1714">
        <f>'1-ABA-DE-CARREGAMENTO'!E42</f>
        <v>1621</v>
      </c>
      <c r="J41" s="1478"/>
      <c r="K41" s="749"/>
    </row>
    <row r="42" spans="1:11" ht="11.25" customHeight="1">
      <c r="A42" s="1031"/>
      <c r="B42" s="1618"/>
      <c r="C42" s="1477"/>
      <c r="D42" s="1477"/>
      <c r="E42" s="1477"/>
      <c r="F42" s="1477"/>
      <c r="G42" s="1477"/>
      <c r="H42" s="1477"/>
      <c r="I42" s="1477"/>
      <c r="J42" s="1478"/>
      <c r="K42" s="459"/>
    </row>
    <row r="43" spans="1:11" ht="24" customHeight="1">
      <c r="A43" s="1031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</row>
    <row r="44" spans="1:11" ht="14.25" customHeight="1">
      <c r="A44" s="1031"/>
      <c r="B44" s="1728"/>
      <c r="C44" s="1477"/>
      <c r="D44" s="1477"/>
      <c r="E44" s="1477"/>
      <c r="F44" s="1477"/>
      <c r="G44" s="1477"/>
      <c r="H44" s="1477"/>
      <c r="I44" s="1477"/>
      <c r="J44" s="1478"/>
      <c r="K44" s="1041"/>
    </row>
    <row r="45" spans="1:11" ht="11.25" customHeight="1">
      <c r="A45" s="1031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</row>
    <row r="46" spans="1:11" ht="11.25" customHeight="1">
      <c r="A46" s="104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753" t="s">
        <v>355</v>
      </c>
      <c r="K46" s="727"/>
    </row>
    <row r="47" spans="1:11" ht="12.75" customHeight="1">
      <c r="A47" s="1031"/>
      <c r="B47" s="696" t="s">
        <v>312</v>
      </c>
      <c r="C47" s="1577" t="s">
        <v>1041</v>
      </c>
      <c r="D47" s="1477"/>
      <c r="E47" s="1477"/>
      <c r="F47" s="1478"/>
      <c r="G47" s="755" t="s">
        <v>52</v>
      </c>
      <c r="H47" s="756">
        <f>'1-ABA-DE-CARREGAMENTO'!L52</f>
        <v>220</v>
      </c>
      <c r="I47" s="755"/>
      <c r="J47" s="758">
        <f>I29*I40</f>
        <v>1915.595</v>
      </c>
      <c r="K47" s="1043"/>
    </row>
    <row r="48" spans="1:11" ht="11.25" customHeight="1">
      <c r="A48" s="1031"/>
      <c r="B48" s="696" t="s">
        <v>314</v>
      </c>
      <c r="C48" s="1577" t="s">
        <v>1179</v>
      </c>
      <c r="D48" s="1477"/>
      <c r="E48" s="1477"/>
      <c r="F48" s="1654" t="str">
        <f>'1-ABA-DE-CARREGAMENTO'!L38</f>
        <v>SEM ADICIONAL DE FUNÇÃO</v>
      </c>
      <c r="G48" s="1477"/>
      <c r="H48" s="1478"/>
      <c r="I48" s="994">
        <f>'1-ABA-DE-CARREGAMENTO'!L39</f>
        <v>0</v>
      </c>
      <c r="J48" s="758">
        <f>J47*I48</f>
        <v>0</v>
      </c>
      <c r="K48" s="1043"/>
    </row>
    <row r="49" spans="1:11" ht="11.25" customHeight="1">
      <c r="A49" s="1031"/>
      <c r="B49" s="696" t="s">
        <v>316</v>
      </c>
      <c r="C49" s="1577" t="s">
        <v>1353</v>
      </c>
      <c r="D49" s="1477"/>
      <c r="E49" s="1477"/>
      <c r="F49" s="1477"/>
      <c r="G49" s="1477"/>
      <c r="H49" s="1478"/>
      <c r="I49" s="871">
        <f>'1-ABA-DE-CARREGAMENTO'!L44</f>
        <v>0</v>
      </c>
      <c r="J49" s="758">
        <f>ROUND(J47*I49,2)</f>
        <v>0</v>
      </c>
      <c r="K49" s="1043"/>
    </row>
    <row r="50" spans="1:11" ht="11.25" customHeight="1">
      <c r="A50" s="1031"/>
      <c r="B50" s="696" t="s">
        <v>318</v>
      </c>
      <c r="C50" s="1577" t="s">
        <v>1354</v>
      </c>
      <c r="D50" s="1477"/>
      <c r="E50" s="1477"/>
      <c r="F50" s="1477"/>
      <c r="G50" s="1654" t="str">
        <f>'1-ABA-DE-CARREGAMENTO'!L40</f>
        <v>INSALUB S/MINIMO</v>
      </c>
      <c r="H50" s="1478"/>
      <c r="I50" s="1073">
        <f>'1-ABA-DE-CARREGAMENTO'!L41</f>
        <v>0.2</v>
      </c>
      <c r="J50" s="758">
        <f>ROUND(I50*I41,2)</f>
        <v>324.2</v>
      </c>
      <c r="K50" s="1043"/>
    </row>
    <row r="51" spans="1:11" ht="30.75" customHeight="1">
      <c r="A51" s="1031"/>
      <c r="B51" s="696" t="s">
        <v>360</v>
      </c>
      <c r="C51" s="1577" t="s">
        <v>1355</v>
      </c>
      <c r="D51" s="1477"/>
      <c r="E51" s="1477"/>
      <c r="F51" s="1477"/>
      <c r="G51" s="1477"/>
      <c r="H51" s="1477"/>
      <c r="I51" s="1478"/>
      <c r="J51" s="758">
        <f>ROUND(2*8*15*I36,2)*0</f>
        <v>0</v>
      </c>
      <c r="K51" s="1043"/>
    </row>
    <row r="52" spans="1:11" ht="39" customHeight="1">
      <c r="A52" s="1031"/>
      <c r="B52" s="696" t="s">
        <v>364</v>
      </c>
      <c r="C52" s="1656" t="s">
        <v>1356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1043"/>
    </row>
    <row r="53" spans="1:11" ht="37.5" customHeight="1">
      <c r="A53" s="1031"/>
      <c r="B53" s="696" t="s">
        <v>366</v>
      </c>
      <c r="C53" s="1656" t="s">
        <v>1357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1043"/>
    </row>
    <row r="54" spans="1:11" ht="24" customHeight="1">
      <c r="A54" s="1031"/>
      <c r="B54" s="696" t="s">
        <v>368</v>
      </c>
      <c r="C54" s="1656" t="s">
        <v>1184</v>
      </c>
      <c r="D54" s="1477"/>
      <c r="E54" s="1477"/>
      <c r="F54" s="1754" t="s">
        <v>1358</v>
      </c>
      <c r="G54" s="1477"/>
      <c r="H54" s="1477"/>
      <c r="I54" s="1278">
        <f>'1-ABA-DE-CARREGAMENTO'!L65</f>
        <v>0</v>
      </c>
      <c r="J54" s="758">
        <f>ROUND((((SUM(J47:J50))/220)*1.5)*I54,2)</f>
        <v>0</v>
      </c>
      <c r="K54" s="1043"/>
    </row>
    <row r="55" spans="1:11" ht="24" customHeight="1">
      <c r="A55" s="1031"/>
      <c r="B55" s="696" t="s">
        <v>372</v>
      </c>
      <c r="C55" s="1656" t="s">
        <v>1186</v>
      </c>
      <c r="D55" s="1477"/>
      <c r="E55" s="1477"/>
      <c r="F55" s="1754" t="s">
        <v>1359</v>
      </c>
      <c r="G55" s="1477"/>
      <c r="H55" s="1477"/>
      <c r="I55" s="1278">
        <v>0</v>
      </c>
      <c r="J55" s="758">
        <f>ROUND((((SUM(J47:J50))/220)*2)*I55,2)</f>
        <v>0</v>
      </c>
      <c r="K55" s="1043"/>
    </row>
    <row r="56" spans="1:11" ht="11.25" customHeight="1">
      <c r="A56" s="1031"/>
      <c r="B56" s="696" t="s">
        <v>376</v>
      </c>
      <c r="C56" s="1577" t="s">
        <v>1360</v>
      </c>
      <c r="D56" s="1477"/>
      <c r="E56" s="1477"/>
      <c r="F56" s="1477"/>
      <c r="G56" s="1477"/>
      <c r="H56" s="1477"/>
      <c r="I56" s="1478"/>
      <c r="J56" s="758">
        <f>ROUND(((J54+J55)/25)*5,2)</f>
        <v>0</v>
      </c>
      <c r="K56" s="1043"/>
    </row>
    <row r="57" spans="1:11" ht="11.25" customHeight="1">
      <c r="A57" s="1031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1046"/>
    </row>
    <row r="58" spans="1:11" ht="11.25" customHeight="1">
      <c r="A58" s="1031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2239.7950000000001</v>
      </c>
      <c r="K58" s="1047"/>
    </row>
    <row r="59" spans="1:11" ht="14.25" customHeight="1">
      <c r="A59" s="1031"/>
      <c r="B59" s="773"/>
      <c r="C59" s="1657"/>
      <c r="D59" s="1477"/>
      <c r="E59" s="1477"/>
      <c r="F59" s="1477"/>
      <c r="G59" s="1477"/>
      <c r="H59" s="1477"/>
      <c r="I59" s="1478"/>
      <c r="J59" s="774"/>
      <c r="K59" s="1047"/>
    </row>
    <row r="60" spans="1:11" ht="11.25" customHeight="1">
      <c r="A60" s="1031"/>
      <c r="B60" s="696" t="s">
        <v>368</v>
      </c>
      <c r="C60" s="1577" t="s">
        <v>1361</v>
      </c>
      <c r="D60" s="1477"/>
      <c r="E60" s="1477"/>
      <c r="F60" s="1477"/>
      <c r="G60" s="1477"/>
      <c r="H60" s="1477"/>
      <c r="I60" s="1478"/>
      <c r="J60" s="758">
        <f>ROUND(I34*15*I40*0.5,2)*0</f>
        <v>0</v>
      </c>
      <c r="K60" s="1043"/>
    </row>
    <row r="61" spans="1:11" ht="11.25" customHeight="1">
      <c r="A61" s="1031"/>
      <c r="B61" s="1572" t="s">
        <v>1362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1047"/>
    </row>
    <row r="62" spans="1:11" ht="11.25" customHeight="1">
      <c r="A62" s="1031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</row>
    <row r="63" spans="1:11" ht="11.25" customHeight="1">
      <c r="A63" s="1031"/>
      <c r="B63" s="1578" t="s">
        <v>1363</v>
      </c>
      <c r="C63" s="1477"/>
      <c r="D63" s="1477"/>
      <c r="E63" s="1477"/>
      <c r="F63" s="1477"/>
      <c r="G63" s="1477"/>
      <c r="H63" s="1477"/>
      <c r="I63" s="1478"/>
      <c r="J63" s="775">
        <f>J58+J61</f>
        <v>2239.7950000000001</v>
      </c>
      <c r="K63" s="776"/>
    </row>
    <row r="64" spans="1:11" ht="11.25" customHeight="1">
      <c r="A64" s="1031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</row>
    <row r="65" spans="1:11" ht="11.25" customHeight="1">
      <c r="A65" s="1031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</row>
    <row r="66" spans="1:11" ht="11.25" customHeight="1">
      <c r="A66" s="1031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</row>
    <row r="67" spans="1:11" ht="11.25" customHeight="1">
      <c r="A67" s="1031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1048"/>
    </row>
    <row r="68" spans="1:11" ht="11.25" customHeight="1">
      <c r="A68" s="1031"/>
      <c r="B68" s="1580" t="s">
        <v>1364</v>
      </c>
      <c r="C68" s="1477"/>
      <c r="D68" s="1477"/>
      <c r="E68" s="1477"/>
      <c r="F68" s="1477"/>
      <c r="G68" s="1477"/>
      <c r="H68" s="1477"/>
      <c r="I68" s="1477"/>
      <c r="J68" s="1478"/>
      <c r="K68" s="931"/>
    </row>
    <row r="69" spans="1:11" ht="15" customHeight="1">
      <c r="A69" s="1031"/>
      <c r="B69" s="781" t="s">
        <v>388</v>
      </c>
      <c r="C69" s="1659" t="s">
        <v>1365</v>
      </c>
      <c r="D69" s="1477"/>
      <c r="E69" s="1477"/>
      <c r="F69" s="1477"/>
      <c r="G69" s="1477"/>
      <c r="H69" s="1477"/>
      <c r="I69" s="1478"/>
      <c r="J69" s="782" t="s">
        <v>390</v>
      </c>
      <c r="K69" s="783"/>
    </row>
    <row r="70" spans="1:11" ht="11.25" customHeight="1">
      <c r="A70" s="1031"/>
      <c r="B70" s="781" t="s">
        <v>312</v>
      </c>
      <c r="C70" s="1656" t="s">
        <v>1366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186.57</v>
      </c>
      <c r="K70" s="786"/>
    </row>
    <row r="71" spans="1:11" ht="14.25" customHeight="1">
      <c r="A71" s="1031"/>
      <c r="B71" s="781" t="s">
        <v>314</v>
      </c>
      <c r="C71" s="1582" t="s">
        <v>1367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67.75</v>
      </c>
      <c r="K71" s="786"/>
    </row>
    <row r="72" spans="1:11" ht="11.25" customHeight="1">
      <c r="A72" s="1031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254.32</v>
      </c>
      <c r="K72" s="1049"/>
    </row>
    <row r="73" spans="1:11" ht="14.25" customHeight="1">
      <c r="A73" s="1031"/>
      <c r="B73" s="1661"/>
      <c r="C73" s="1477"/>
      <c r="D73" s="1477"/>
      <c r="E73" s="1477"/>
      <c r="F73" s="1477"/>
      <c r="G73" s="1477"/>
      <c r="H73" s="1477"/>
      <c r="I73" s="1477"/>
      <c r="J73" s="1478"/>
      <c r="K73" s="1050"/>
    </row>
    <row r="74" spans="1:11" ht="11.25" customHeight="1">
      <c r="A74" s="1031"/>
      <c r="B74" s="1653" t="s">
        <v>1368</v>
      </c>
      <c r="C74" s="1477"/>
      <c r="D74" s="1477"/>
      <c r="E74" s="1477"/>
      <c r="F74" s="1477"/>
      <c r="G74" s="1477"/>
      <c r="H74" s="1477"/>
      <c r="I74" s="1477"/>
      <c r="J74" s="1478"/>
      <c r="K74" s="750"/>
    </row>
    <row r="75" spans="1:11" ht="14.25" customHeight="1">
      <c r="A75" s="1031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</row>
    <row r="76" spans="1:11" ht="14.25" customHeight="1">
      <c r="A76" s="1031"/>
      <c r="B76" s="1663" t="s">
        <v>1369</v>
      </c>
      <c r="C76" s="1477"/>
      <c r="D76" s="1477"/>
      <c r="E76" s="1477"/>
      <c r="F76" s="1477"/>
      <c r="G76" s="1477"/>
      <c r="H76" s="1477"/>
      <c r="I76" s="1477"/>
      <c r="J76" s="1478"/>
      <c r="K76" s="780"/>
    </row>
    <row r="77" spans="1:11" ht="11.25" customHeight="1">
      <c r="A77" s="1031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</row>
    <row r="78" spans="1:11" ht="11.25" customHeight="1">
      <c r="A78" s="1031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498.82</v>
      </c>
      <c r="K78" s="1049"/>
    </row>
    <row r="79" spans="1:11" ht="11.25" customHeight="1">
      <c r="A79" s="1031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62.35</v>
      </c>
      <c r="K79" s="1049"/>
    </row>
    <row r="80" spans="1:11" ht="11.25" customHeight="1">
      <c r="A80" s="1031"/>
      <c r="B80" s="794" t="s">
        <v>316</v>
      </c>
      <c r="C80" s="1577" t="s">
        <v>1370</v>
      </c>
      <c r="D80" s="1478"/>
      <c r="E80" s="1051" t="s">
        <v>402</v>
      </c>
      <c r="F80" s="1052">
        <f>'1-ABA-DE-CARREGAMENTO'!L57</f>
        <v>0</v>
      </c>
      <c r="G80" s="1051" t="s">
        <v>403</v>
      </c>
      <c r="H80" s="1053">
        <f>'1-ABA-DE-CARREGAMENTO'!L58</f>
        <v>1</v>
      </c>
      <c r="I80" s="799">
        <f>ROUND((F80*H80),6)</f>
        <v>0</v>
      </c>
      <c r="J80" s="796">
        <f>ROUND((J58+J72)*I80,2)</f>
        <v>0</v>
      </c>
      <c r="K80" s="1049"/>
    </row>
    <row r="81" spans="1:11" ht="16.5" customHeight="1">
      <c r="A81" s="1031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37.409999999999997</v>
      </c>
      <c r="K81" s="1049"/>
    </row>
    <row r="82" spans="1:11" ht="16.5" customHeight="1">
      <c r="A82" s="1031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24.94</v>
      </c>
      <c r="K82" s="1049"/>
    </row>
    <row r="83" spans="1:11" ht="16.5" customHeight="1">
      <c r="A83" s="1031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14.96</v>
      </c>
      <c r="K83" s="1049"/>
    </row>
    <row r="84" spans="1:11" ht="16.5" customHeight="1">
      <c r="A84" s="1031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4.99</v>
      </c>
      <c r="K84" s="1049"/>
    </row>
    <row r="85" spans="1:11" ht="28.5" customHeight="1">
      <c r="A85" s="1031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199.53</v>
      </c>
      <c r="K85" s="1049"/>
    </row>
    <row r="86" spans="1:11" ht="12" customHeight="1">
      <c r="A86" s="1031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0">SUM(I78:I85)</f>
        <v>0.33800000000000002</v>
      </c>
      <c r="J86" s="788">
        <f t="shared" si="0"/>
        <v>843</v>
      </c>
      <c r="K86" s="1049"/>
    </row>
    <row r="87" spans="1:11" ht="12" customHeight="1">
      <c r="A87" s="1031"/>
      <c r="B87" s="801"/>
      <c r="C87" s="802"/>
      <c r="D87" s="802"/>
      <c r="E87" s="802"/>
      <c r="F87" s="802"/>
      <c r="G87" s="802"/>
      <c r="H87" s="802"/>
      <c r="I87" s="803"/>
      <c r="J87" s="804"/>
      <c r="K87" s="1049"/>
    </row>
    <row r="88" spans="1:11" ht="32.25" customHeight="1">
      <c r="A88" s="1031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</row>
    <row r="89" spans="1:11" ht="18.75" customHeight="1">
      <c r="A89" s="1031"/>
      <c r="B89" s="1618"/>
      <c r="C89" s="1477"/>
      <c r="D89" s="1477"/>
      <c r="E89" s="1477"/>
      <c r="F89" s="1477"/>
      <c r="G89" s="1477"/>
      <c r="H89" s="1477"/>
      <c r="I89" s="1477"/>
      <c r="J89" s="1478"/>
      <c r="K89" s="459"/>
    </row>
    <row r="90" spans="1:11" ht="15" customHeight="1">
      <c r="A90" s="1031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931"/>
    </row>
    <row r="91" spans="1:11" ht="15" customHeight="1">
      <c r="A91" s="1031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</row>
    <row r="92" spans="1:11" ht="15" customHeight="1">
      <c r="A92" s="1031"/>
      <c r="B92" s="743" t="s">
        <v>312</v>
      </c>
      <c r="C92" s="1577" t="s">
        <v>1371</v>
      </c>
      <c r="D92" s="1477"/>
      <c r="E92" s="1477"/>
      <c r="F92" s="1477"/>
      <c r="G92" s="1477"/>
      <c r="H92" s="1478"/>
      <c r="I92" s="807">
        <f>J47</f>
        <v>1915.595</v>
      </c>
      <c r="J92" s="808">
        <f>IF(ROUND((I93*I95*I94)-(J47*I96),2)&lt;0,0,ROUND((I93*I95*I94)-(J47*I96),2))</f>
        <v>122.76</v>
      </c>
      <c r="K92" s="1049"/>
    </row>
    <row r="93" spans="1:11" ht="28.5" customHeight="1">
      <c r="A93" s="1031"/>
      <c r="B93" s="743" t="s">
        <v>314</v>
      </c>
      <c r="C93" s="1577" t="s">
        <v>1372</v>
      </c>
      <c r="D93" s="1477"/>
      <c r="E93" s="1477"/>
      <c r="F93" s="1477"/>
      <c r="G93" s="1477"/>
      <c r="H93" s="1477"/>
      <c r="I93" s="809">
        <f>'1-ABA-DE-CARREGAMENTO'!L72</f>
        <v>6.82</v>
      </c>
      <c r="J93" s="810" t="s">
        <v>325</v>
      </c>
      <c r="K93" s="1046"/>
    </row>
    <row r="94" spans="1:11" ht="25.5" customHeight="1">
      <c r="A94" s="1031"/>
      <c r="B94" s="743" t="s">
        <v>316</v>
      </c>
      <c r="C94" s="1577" t="s">
        <v>1373</v>
      </c>
      <c r="D94" s="1477"/>
      <c r="E94" s="1477"/>
      <c r="F94" s="1477"/>
      <c r="G94" s="1477"/>
      <c r="H94" s="1478"/>
      <c r="I94" s="811">
        <f>'1-ABA-DE-CARREGAMENTO'!L73</f>
        <v>2</v>
      </c>
      <c r="J94" s="810" t="s">
        <v>325</v>
      </c>
      <c r="K94" s="1046"/>
    </row>
    <row r="95" spans="1:11" ht="19.5" customHeight="1">
      <c r="A95" s="1031"/>
      <c r="B95" s="743" t="s">
        <v>318</v>
      </c>
      <c r="C95" s="1560" t="s">
        <v>415</v>
      </c>
      <c r="D95" s="1477"/>
      <c r="E95" s="1477"/>
      <c r="F95" s="1477"/>
      <c r="G95" s="1477"/>
      <c r="H95" s="1478"/>
      <c r="I95" s="811">
        <f>'1-ABA-DE-CARREGAMENTO'!L74</f>
        <v>9</v>
      </c>
      <c r="J95" s="810" t="s">
        <v>325</v>
      </c>
      <c r="K95" s="1046"/>
    </row>
    <row r="96" spans="1:11" ht="25.5" customHeight="1">
      <c r="A96" s="1031"/>
      <c r="B96" s="743" t="s">
        <v>360</v>
      </c>
      <c r="C96" s="1560" t="s">
        <v>1374</v>
      </c>
      <c r="D96" s="1477"/>
      <c r="E96" s="1477"/>
      <c r="F96" s="1477"/>
      <c r="G96" s="1477"/>
      <c r="H96" s="1478"/>
      <c r="I96" s="1412">
        <v>0</v>
      </c>
      <c r="J96" s="815" t="s">
        <v>325</v>
      </c>
      <c r="K96" s="1046"/>
    </row>
    <row r="97" spans="1:11" ht="15" customHeight="1">
      <c r="A97" s="1031"/>
      <c r="B97" s="743" t="s">
        <v>364</v>
      </c>
      <c r="C97" s="1577" t="s">
        <v>1375</v>
      </c>
      <c r="D97" s="1477"/>
      <c r="E97" s="1477"/>
      <c r="F97" s="1477"/>
      <c r="G97" s="1477"/>
      <c r="H97" s="1477"/>
      <c r="I97" s="1477"/>
      <c r="J97" s="808">
        <f>ROUND(I98*I99,2)-ROUND((I98*I99)*I100,2)</f>
        <v>0</v>
      </c>
      <c r="K97" s="1049"/>
    </row>
    <row r="98" spans="1:11" ht="15" customHeight="1">
      <c r="A98" s="1031"/>
      <c r="B98" s="743" t="s">
        <v>366</v>
      </c>
      <c r="C98" s="1577" t="s">
        <v>1376</v>
      </c>
      <c r="D98" s="1477"/>
      <c r="E98" s="1477"/>
      <c r="F98" s="1477"/>
      <c r="G98" s="1477"/>
      <c r="H98" s="1477"/>
      <c r="I98" s="809">
        <v>0</v>
      </c>
      <c r="J98" s="817"/>
      <c r="K98" s="1046"/>
    </row>
    <row r="99" spans="1:11" ht="15" customHeight="1">
      <c r="A99" s="1031"/>
      <c r="B99" s="743" t="s">
        <v>368</v>
      </c>
      <c r="C99" s="1577" t="s">
        <v>1377</v>
      </c>
      <c r="D99" s="1477"/>
      <c r="E99" s="1477"/>
      <c r="F99" s="1477"/>
      <c r="G99" s="1477"/>
      <c r="H99" s="1477"/>
      <c r="I99" s="811">
        <f>'1-ABA-DE-CARREGAMENTO'!L62</f>
        <v>20.5</v>
      </c>
      <c r="J99" s="817"/>
      <c r="K99" s="1046"/>
    </row>
    <row r="100" spans="1:11" ht="28.5" customHeight="1">
      <c r="A100" s="1031"/>
      <c r="B100" s="743" t="s">
        <v>372</v>
      </c>
      <c r="C100" s="1665" t="s">
        <v>1378</v>
      </c>
      <c r="D100" s="1477"/>
      <c r="E100" s="1477"/>
      <c r="F100" s="1477"/>
      <c r="G100" s="1477"/>
      <c r="H100" s="1478"/>
      <c r="I100" s="1412">
        <v>0</v>
      </c>
      <c r="J100" s="1087"/>
      <c r="K100" s="1046"/>
    </row>
    <row r="101" spans="1:11" ht="15" customHeight="1">
      <c r="A101" s="1031"/>
      <c r="B101" s="743" t="s">
        <v>376</v>
      </c>
      <c r="C101" s="1577" t="s">
        <v>1207</v>
      </c>
      <c r="D101" s="1477"/>
      <c r="E101" s="1477"/>
      <c r="F101" s="1477"/>
      <c r="G101" s="1477"/>
      <c r="H101" s="1477"/>
      <c r="I101" s="1477"/>
      <c r="J101" s="796">
        <v>0</v>
      </c>
      <c r="K101" s="1049"/>
    </row>
    <row r="102" spans="1:11" ht="36.75" customHeight="1">
      <c r="A102" s="1031"/>
      <c r="B102" s="743" t="s">
        <v>379</v>
      </c>
      <c r="C102" s="1577" t="s">
        <v>1379</v>
      </c>
      <c r="D102" s="1477"/>
      <c r="E102" s="1477"/>
      <c r="F102" s="1477"/>
      <c r="G102" s="1477"/>
      <c r="H102" s="1477"/>
      <c r="I102" s="1477"/>
      <c r="J102" s="796">
        <v>0</v>
      </c>
      <c r="K102" s="1049"/>
    </row>
    <row r="103" spans="1:11" ht="36.75" customHeight="1">
      <c r="A103" s="1031"/>
      <c r="B103" s="743" t="s">
        <v>423</v>
      </c>
      <c r="C103" s="1577" t="s">
        <v>1380</v>
      </c>
      <c r="D103" s="1477"/>
      <c r="E103" s="1477"/>
      <c r="F103" s="1477"/>
      <c r="G103" s="1477"/>
      <c r="H103" s="1477"/>
      <c r="I103" s="1478"/>
      <c r="J103" s="796">
        <v>0</v>
      </c>
      <c r="K103" s="1049"/>
    </row>
    <row r="104" spans="1:11" ht="16.5" customHeight="1">
      <c r="A104" s="1031"/>
      <c r="B104" s="743" t="s">
        <v>425</v>
      </c>
      <c r="C104" s="1577" t="s">
        <v>1071</v>
      </c>
      <c r="D104" s="1477"/>
      <c r="E104" s="1477"/>
      <c r="F104" s="1477"/>
      <c r="G104" s="1477"/>
      <c r="H104" s="1477"/>
      <c r="I104" s="1478"/>
      <c r="J104" s="796">
        <v>0</v>
      </c>
      <c r="K104" s="1049"/>
    </row>
    <row r="105" spans="1:11" ht="17.25" customHeight="1">
      <c r="A105" s="1031"/>
      <c r="B105" s="743" t="s">
        <v>53</v>
      </c>
      <c r="C105" s="1589" t="s">
        <v>468</v>
      </c>
      <c r="D105" s="1477"/>
      <c r="E105" s="1477"/>
      <c r="F105" s="1477"/>
      <c r="G105" s="1477"/>
      <c r="H105" s="1477"/>
      <c r="I105" s="1477"/>
      <c r="J105" s="881">
        <v>0</v>
      </c>
      <c r="K105" s="789"/>
    </row>
    <row r="106" spans="1:11" ht="33.75" customHeight="1">
      <c r="A106" s="1031"/>
      <c r="B106" s="823"/>
      <c r="C106" s="1585" t="s">
        <v>393</v>
      </c>
      <c r="D106" s="1477"/>
      <c r="E106" s="1477"/>
      <c r="F106" s="1477"/>
      <c r="G106" s="1477"/>
      <c r="H106" s="1477"/>
      <c r="I106" s="1521"/>
      <c r="J106" s="788">
        <f>SUM(J92:J105)</f>
        <v>122.76</v>
      </c>
      <c r="K106" s="1049"/>
    </row>
    <row r="107" spans="1:11" ht="17.25" customHeight="1">
      <c r="A107" s="1031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459"/>
    </row>
    <row r="108" spans="1:11" ht="33" customHeight="1">
      <c r="A108" s="1031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</row>
    <row r="109" spans="1:11" ht="19.5" customHeight="1">
      <c r="A109" s="1031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</row>
    <row r="110" spans="1:11" ht="19.5" customHeight="1">
      <c r="A110" s="1031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</row>
    <row r="111" spans="1:11" ht="19.5" customHeight="1">
      <c r="A111" s="1031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793" t="s">
        <v>390</v>
      </c>
      <c r="K111" s="783"/>
    </row>
    <row r="112" spans="1:11" ht="19.5" customHeight="1">
      <c r="A112" s="1031"/>
      <c r="B112" s="733" t="s">
        <v>388</v>
      </c>
      <c r="C112" s="1656" t="s">
        <v>1381</v>
      </c>
      <c r="D112" s="1477"/>
      <c r="E112" s="1477"/>
      <c r="F112" s="1477"/>
      <c r="G112" s="1477"/>
      <c r="H112" s="1477"/>
      <c r="I112" s="1478"/>
      <c r="J112" s="824">
        <f>J72</f>
        <v>254.32</v>
      </c>
      <c r="K112" s="825"/>
    </row>
    <row r="113" spans="1:11" ht="19.5" customHeight="1">
      <c r="A113" s="1031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843</v>
      </c>
      <c r="K113" s="825"/>
    </row>
    <row r="114" spans="1:11" ht="19.5" customHeight="1">
      <c r="A114" s="1031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122.76</v>
      </c>
      <c r="K114" s="825"/>
    </row>
    <row r="115" spans="1:11" ht="14.25" customHeight="1">
      <c r="A115" s="1031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1220.08</v>
      </c>
      <c r="K115" s="825"/>
    </row>
    <row r="116" spans="1:11" ht="14.25" customHeight="1">
      <c r="A116" s="1031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</row>
    <row r="117" spans="1:11" ht="18.75" customHeight="1">
      <c r="A117" s="1031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1054"/>
    </row>
    <row r="118" spans="1:11" ht="15.75" customHeight="1">
      <c r="A118" s="1031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805" t="s">
        <v>390</v>
      </c>
      <c r="K118" s="1055"/>
    </row>
    <row r="119" spans="1:11" ht="43.5" customHeight="1">
      <c r="A119" s="1031"/>
      <c r="B119" s="743" t="s">
        <v>312</v>
      </c>
      <c r="C119" s="1577" t="s">
        <v>1382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11.17</v>
      </c>
      <c r="K119" s="1049"/>
    </row>
    <row r="120" spans="1:11" ht="21" customHeight="1">
      <c r="A120" s="1031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0.89</v>
      </c>
      <c r="K120" s="1049"/>
    </row>
    <row r="121" spans="1:11" ht="26.25" customHeight="1">
      <c r="A121" s="1031"/>
      <c r="B121" s="743" t="s">
        <v>316</v>
      </c>
      <c r="C121" s="1577" t="s">
        <v>1383</v>
      </c>
      <c r="D121" s="1477"/>
      <c r="E121" s="1477"/>
      <c r="F121" s="1477"/>
      <c r="G121" s="1477"/>
      <c r="H121" s="1477"/>
      <c r="I121" s="1478"/>
      <c r="J121" s="796">
        <f>ROUND(((7/30)/$I$11)*$J$58*1,2)</f>
        <v>17.420000000000002</v>
      </c>
      <c r="K121" s="1049"/>
    </row>
    <row r="122" spans="1:11" ht="18" customHeight="1">
      <c r="A122" s="1031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5.89</v>
      </c>
      <c r="K122" s="1049"/>
    </row>
    <row r="123" spans="1:11" ht="40.5" customHeight="1">
      <c r="A123" s="1031"/>
      <c r="B123" s="743" t="s">
        <v>360</v>
      </c>
      <c r="C123" s="1577" t="s">
        <v>1384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89.59</v>
      </c>
      <c r="K123" s="1049"/>
    </row>
    <row r="124" spans="1:11" ht="19.5" customHeight="1">
      <c r="A124" s="1031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124.96000000000001</v>
      </c>
      <c r="K124" s="1049"/>
    </row>
    <row r="125" spans="1:11" ht="15.75" customHeight="1">
      <c r="A125" s="1031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1056"/>
    </row>
    <row r="126" spans="1:11" ht="17.25" customHeight="1">
      <c r="A126" s="1031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</row>
    <row r="127" spans="1:11" ht="24" customHeight="1">
      <c r="A127" s="1031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</row>
    <row r="128" spans="1:11" ht="54.75" customHeight="1">
      <c r="A128" s="1031"/>
      <c r="B128" s="1663" t="s">
        <v>1385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</row>
    <row r="129" spans="1:11" ht="26.25" customHeight="1">
      <c r="A129" s="1031"/>
      <c r="B129" s="832" t="s">
        <v>445</v>
      </c>
      <c r="C129" s="833">
        <f>J58</f>
        <v>2239.7950000000001</v>
      </c>
      <c r="D129" s="834" t="s">
        <v>446</v>
      </c>
      <c r="E129" s="832" t="s">
        <v>1386</v>
      </c>
      <c r="F129" s="833">
        <f>J115-J92-J97</f>
        <v>1097.32</v>
      </c>
      <c r="G129" s="834" t="s">
        <v>446</v>
      </c>
      <c r="H129" s="832" t="s">
        <v>448</v>
      </c>
      <c r="I129" s="833">
        <f>J124</f>
        <v>124.96000000000001</v>
      </c>
      <c r="J129" s="835">
        <f>C129+F129+I129</f>
        <v>3462.0749999999998</v>
      </c>
      <c r="K129" s="836"/>
    </row>
    <row r="130" spans="1:11" ht="30.75" customHeight="1">
      <c r="A130" s="1031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</row>
    <row r="131" spans="1:11" ht="15.75" customHeight="1">
      <c r="A131" s="1031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</row>
    <row r="132" spans="1:11" ht="17.25" customHeight="1">
      <c r="A132" s="1031"/>
      <c r="B132" s="1057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57" t="s">
        <v>390</v>
      </c>
      <c r="K132" s="1058"/>
    </row>
    <row r="133" spans="1:11" ht="50.25" customHeight="1">
      <c r="A133" s="1031"/>
      <c r="B133" s="743" t="s">
        <v>312</v>
      </c>
      <c r="C133" s="1656" t="s">
        <v>1387</v>
      </c>
      <c r="D133" s="1477"/>
      <c r="E133" s="1477"/>
      <c r="F133" s="1477"/>
      <c r="G133" s="1477"/>
      <c r="H133" s="840">
        <v>9.0749999999999997E-2</v>
      </c>
      <c r="I133" s="1004">
        <f>I86</f>
        <v>0.33800000000000002</v>
      </c>
      <c r="J133" s="796">
        <f>ROUND(H133*J58,2)*(1+I133)</f>
        <v>271.96188000000001</v>
      </c>
      <c r="K133" s="1049"/>
    </row>
    <row r="134" spans="1:11" ht="17.25" customHeight="1">
      <c r="A134" s="1031"/>
      <c r="B134" s="743" t="s">
        <v>314</v>
      </c>
      <c r="C134" s="1577" t="s">
        <v>1388</v>
      </c>
      <c r="D134" s="1477"/>
      <c r="E134" s="1477"/>
      <c r="F134" s="1477"/>
      <c r="G134" s="1477"/>
      <c r="H134" s="1477"/>
      <c r="I134" s="1478"/>
      <c r="J134" s="796">
        <f>ROUND((1/30)/12*(J129),2)</f>
        <v>9.6199999999999992</v>
      </c>
      <c r="K134" s="1049"/>
    </row>
    <row r="135" spans="1:11" ht="28.5" customHeight="1">
      <c r="A135" s="1031"/>
      <c r="B135" s="743" t="s">
        <v>316</v>
      </c>
      <c r="C135" s="1577" t="s">
        <v>1389</v>
      </c>
      <c r="D135" s="1477"/>
      <c r="E135" s="1477"/>
      <c r="F135" s="1477"/>
      <c r="G135" s="1477"/>
      <c r="H135" s="1477"/>
      <c r="I135" s="1478"/>
      <c r="J135" s="796">
        <f>ROUND((5/30)/12*0.015*(J129),2)</f>
        <v>0.72</v>
      </c>
      <c r="K135" s="1049"/>
    </row>
    <row r="136" spans="1:11" ht="27.75" customHeight="1">
      <c r="A136" s="1031"/>
      <c r="B136" s="743" t="s">
        <v>318</v>
      </c>
      <c r="C136" s="1577" t="s">
        <v>1390</v>
      </c>
      <c r="D136" s="1477"/>
      <c r="E136" s="1477"/>
      <c r="F136" s="1477"/>
      <c r="G136" s="1477"/>
      <c r="H136" s="1477"/>
      <c r="I136" s="1478"/>
      <c r="J136" s="796">
        <f>ROUND(((15/30)/12)*0.0078*(J129),2)</f>
        <v>1.1299999999999999</v>
      </c>
      <c r="K136" s="1049"/>
    </row>
    <row r="137" spans="1:11" ht="30.75" customHeight="1">
      <c r="A137" s="1031"/>
      <c r="B137" s="843" t="s">
        <v>360</v>
      </c>
      <c r="C137" s="1676" t="s">
        <v>1391</v>
      </c>
      <c r="D137" s="1477"/>
      <c r="E137" s="1477"/>
      <c r="F137" s="1477"/>
      <c r="G137" s="1477"/>
      <c r="H137" s="1477"/>
      <c r="I137" s="1478"/>
      <c r="J137" s="1280">
        <f>ROUND(((((C129+C129/3)+(I86)*(C129+C129/3))*(4/12))/12)*0.02,2) + ((J106 -J92-J97+ J124)*4/12)*0.02</f>
        <v>3.053066666666667</v>
      </c>
      <c r="K137" s="1059"/>
    </row>
    <row r="138" spans="1:11" ht="39" customHeight="1">
      <c r="A138" s="1031"/>
      <c r="B138" s="743" t="s">
        <v>364</v>
      </c>
      <c r="C138" s="1577" t="s">
        <v>1392</v>
      </c>
      <c r="D138" s="1477"/>
      <c r="E138" s="1477"/>
      <c r="F138" s="1477"/>
      <c r="G138" s="1477"/>
      <c r="H138" s="1477"/>
      <c r="I138" s="1478"/>
      <c r="J138" s="796">
        <f>ROUND(((3/30)/12)*(J129),2)</f>
        <v>28.85</v>
      </c>
      <c r="K138" s="1049"/>
    </row>
    <row r="139" spans="1:11" ht="19.5" customHeight="1">
      <c r="A139" s="1031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315.33494666666672</v>
      </c>
      <c r="K139" s="1049"/>
    </row>
    <row r="140" spans="1:11" ht="9.75" customHeight="1">
      <c r="A140" s="1031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1056"/>
    </row>
    <row r="141" spans="1:11" ht="19.5" customHeight="1">
      <c r="A141" s="1031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931"/>
    </row>
    <row r="142" spans="1:11" ht="19.5" customHeight="1">
      <c r="A142" s="1031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1060"/>
    </row>
    <row r="143" spans="1:11" ht="19.5" customHeight="1">
      <c r="A143" s="1031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1061"/>
    </row>
    <row r="144" spans="1:11" ht="19.5" customHeight="1">
      <c r="A144" s="1031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1061"/>
    </row>
    <row r="145" spans="1:11" ht="12" customHeight="1">
      <c r="A145" s="1031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1062"/>
    </row>
    <row r="146" spans="1:11" ht="19.5" customHeight="1">
      <c r="A146" s="1031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1048"/>
    </row>
    <row r="147" spans="1:11" ht="19.5" customHeight="1">
      <c r="A147" s="1031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1060"/>
    </row>
    <row r="148" spans="1:11" ht="28.5" customHeight="1">
      <c r="A148" s="1031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315.33494666666672</v>
      </c>
      <c r="K148" s="1061"/>
    </row>
    <row r="149" spans="1:11" ht="24" customHeight="1">
      <c r="A149" s="1031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1061"/>
    </row>
    <row r="150" spans="1:11" ht="24" customHeight="1">
      <c r="A150" s="1031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315.33494666666672</v>
      </c>
      <c r="K150" s="1061"/>
    </row>
    <row r="151" spans="1:11" ht="10.5" customHeight="1">
      <c r="A151" s="1031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1062"/>
    </row>
    <row r="152" spans="1:11" ht="15.75" customHeight="1">
      <c r="A152" s="1031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</row>
    <row r="153" spans="1:11" ht="15.75" customHeight="1">
      <c r="A153" s="1031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805" t="s">
        <v>390</v>
      </c>
      <c r="K153" s="1055"/>
    </row>
    <row r="154" spans="1:11" ht="18" customHeight="1">
      <c r="A154" s="1031"/>
      <c r="B154" s="743" t="s">
        <v>312</v>
      </c>
      <c r="C154" s="1577" t="s">
        <v>296</v>
      </c>
      <c r="D154" s="1477"/>
      <c r="E154" s="1477"/>
      <c r="F154" s="1477"/>
      <c r="G154" s="1477"/>
      <c r="H154" s="1477"/>
      <c r="I154" s="1478"/>
      <c r="J154" s="796">
        <v>0</v>
      </c>
      <c r="K154" s="1049"/>
    </row>
    <row r="155" spans="1:11" ht="15.75" customHeight="1">
      <c r="A155" s="1031"/>
      <c r="B155" s="743" t="s">
        <v>314</v>
      </c>
      <c r="C155" s="1577" t="s">
        <v>639</v>
      </c>
      <c r="D155" s="1477"/>
      <c r="E155" s="1477"/>
      <c r="F155" s="1477"/>
      <c r="G155" s="1477"/>
      <c r="H155" s="1477"/>
      <c r="I155" s="1478"/>
      <c r="J155" s="881">
        <v>0</v>
      </c>
      <c r="K155" s="789"/>
    </row>
    <row r="156" spans="1:11" ht="15.75" customHeight="1">
      <c r="A156" s="1031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81" t="s">
        <v>640</v>
      </c>
      <c r="K156" s="789"/>
    </row>
    <row r="157" spans="1:11" ht="19.5" customHeight="1">
      <c r="A157" s="1031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0</v>
      </c>
      <c r="K157" s="789"/>
    </row>
    <row r="158" spans="1:11" ht="15.75" customHeight="1">
      <c r="A158" s="1031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1063"/>
    </row>
    <row r="159" spans="1:11" ht="27.75" customHeight="1">
      <c r="A159" s="1031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52"/>
    </row>
    <row r="160" spans="1:11" ht="19.5" customHeight="1">
      <c r="A160" s="1031"/>
      <c r="B160" s="859"/>
      <c r="C160" s="860"/>
      <c r="D160" s="860"/>
      <c r="E160" s="860"/>
      <c r="F160" s="860"/>
      <c r="G160" s="860"/>
      <c r="H160" s="860"/>
      <c r="I160" s="860"/>
      <c r="J160" s="861"/>
      <c r="K160" s="315"/>
    </row>
    <row r="161" spans="1:11" ht="24" customHeight="1">
      <c r="A161" s="1031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1054"/>
    </row>
    <row r="162" spans="1:11" ht="18.75" customHeight="1">
      <c r="A162" s="1031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</row>
    <row r="163" spans="1:11" ht="57" customHeight="1">
      <c r="A163" s="1031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866">
        <f>SUM(J63+J115+J124+J150+J157)</f>
        <v>3900.1699466666669</v>
      </c>
      <c r="K163" s="1064"/>
    </row>
    <row r="164" spans="1:11" ht="27" customHeight="1">
      <c r="A164" s="1031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'1-ABA-DE-CARREGAMENTO'!L85</f>
        <v>0.06</v>
      </c>
      <c r="J164" s="796">
        <f>ROUND(I164*J163,2)</f>
        <v>234.01</v>
      </c>
      <c r="K164" s="1049"/>
    </row>
    <row r="165" spans="1:11" ht="51" customHeight="1">
      <c r="A165" s="1031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866">
        <f>SUM(J63+J115+J124+J150+J157+J164)</f>
        <v>4134.1799466666671</v>
      </c>
      <c r="K165" s="1064"/>
    </row>
    <row r="166" spans="1:11" ht="19.5" customHeight="1">
      <c r="A166" s="1031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'1-ABA-DE-CARREGAMENTO'!L86</f>
        <v>0.06</v>
      </c>
      <c r="J166" s="796">
        <f>ROUND(I166*J165,2)</f>
        <v>248.05</v>
      </c>
      <c r="K166" s="1049"/>
    </row>
    <row r="167" spans="1:11" ht="57" customHeight="1">
      <c r="A167" s="1031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866">
        <f>SUM(J163+J164+J166)</f>
        <v>4382.2299466666673</v>
      </c>
      <c r="K167" s="1064"/>
    </row>
    <row r="168" spans="1:11" ht="18.75" customHeight="1">
      <c r="A168" s="1031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769" t="s">
        <v>325</v>
      </c>
      <c r="K168" s="1046"/>
    </row>
    <row r="169" spans="1:11" ht="12" customHeight="1">
      <c r="A169" s="1031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769" t="s">
        <v>325</v>
      </c>
      <c r="K169" s="1046"/>
    </row>
    <row r="170" spans="1:11" ht="24" customHeight="1">
      <c r="A170" s="1031"/>
      <c r="B170" s="743"/>
      <c r="C170" s="1590" t="s">
        <v>1393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281">
        <f t="shared" ref="J170:J171" si="1">ROUND(($J$167/(1-$I$179))*I170,2)</f>
        <v>81.47</v>
      </c>
      <c r="K170" s="1065"/>
    </row>
    <row r="171" spans="1:11" ht="24" customHeight="1">
      <c r="A171" s="1031"/>
      <c r="B171" s="743"/>
      <c r="C171" s="1590" t="s">
        <v>1394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281">
        <f t="shared" si="1"/>
        <v>375.27</v>
      </c>
      <c r="K171" s="1065"/>
    </row>
    <row r="172" spans="1:11" ht="28.5" customHeight="1">
      <c r="A172" s="1031"/>
      <c r="B172" s="743"/>
      <c r="C172" s="1577" t="s">
        <v>1395</v>
      </c>
      <c r="D172" s="1477"/>
      <c r="E172" s="1477"/>
      <c r="F172" s="1477"/>
      <c r="G172" s="1477"/>
      <c r="H172" s="1478"/>
      <c r="I172" s="872" t="s">
        <v>325</v>
      </c>
      <c r="J172" s="769" t="s">
        <v>325</v>
      </c>
      <c r="K172" s="1046"/>
    </row>
    <row r="173" spans="1:11" ht="28.5" customHeight="1">
      <c r="A173" s="1031"/>
      <c r="B173" s="743"/>
      <c r="C173" s="1577" t="s">
        <v>1396</v>
      </c>
      <c r="D173" s="1477"/>
      <c r="E173" s="1477"/>
      <c r="F173" s="1477"/>
      <c r="G173" s="1477"/>
      <c r="H173" s="1478"/>
      <c r="I173" s="872" t="s">
        <v>325</v>
      </c>
      <c r="J173" s="769" t="s">
        <v>325</v>
      </c>
      <c r="K173" s="1046"/>
    </row>
    <row r="174" spans="1:11" ht="15.75" customHeight="1">
      <c r="A174" s="1031"/>
      <c r="B174" s="743"/>
      <c r="C174" s="1577" t="s">
        <v>483</v>
      </c>
      <c r="D174" s="1477"/>
      <c r="E174" s="1477"/>
      <c r="F174" s="1477"/>
      <c r="G174" s="1477"/>
      <c r="H174" s="1477"/>
      <c r="I174" s="1066" t="s">
        <v>325</v>
      </c>
      <c r="J174" s="1282" t="s">
        <v>325</v>
      </c>
      <c r="K174" s="1067"/>
    </row>
    <row r="175" spans="1:11" ht="15.75" customHeight="1">
      <c r="A175" s="1031"/>
      <c r="B175" s="743"/>
      <c r="C175" s="1577" t="s">
        <v>484</v>
      </c>
      <c r="D175" s="1477"/>
      <c r="E175" s="1477"/>
      <c r="F175" s="1477"/>
      <c r="G175" s="1477"/>
      <c r="H175" s="1477"/>
      <c r="I175" s="1066" t="s">
        <v>325</v>
      </c>
      <c r="J175" s="1282" t="s">
        <v>325</v>
      </c>
      <c r="K175" s="1067"/>
    </row>
    <row r="176" spans="1:11" ht="15.75" customHeight="1">
      <c r="A176" s="1031"/>
      <c r="B176" s="743"/>
      <c r="C176" s="1577" t="s">
        <v>1397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281">
        <f>ROUND(($J$167/(1-$I$179))*I176,2)</f>
        <v>98.75</v>
      </c>
      <c r="K176" s="1065"/>
    </row>
    <row r="177" spans="1:11" ht="15.75" customHeight="1">
      <c r="A177" s="1031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788">
        <f>SUM(J164+J166+J170+J171+J176)</f>
        <v>1037.55</v>
      </c>
      <c r="K177" s="1049"/>
    </row>
    <row r="178" spans="1:11" ht="15.75" customHeight="1">
      <c r="A178" s="1031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1056"/>
    </row>
    <row r="179" spans="1:11" ht="15.75" customHeight="1">
      <c r="A179" s="1031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2">SUM(I170:I176)</f>
        <v>0.1125</v>
      </c>
      <c r="J179" s="866">
        <f t="shared" si="2"/>
        <v>555.49</v>
      </c>
      <c r="K179" s="1064"/>
    </row>
    <row r="180" spans="1:11" ht="15.75" customHeight="1">
      <c r="A180" s="1031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5"/>
    </row>
    <row r="181" spans="1:11" ht="15.75" customHeight="1">
      <c r="A181" s="1031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7"/>
    </row>
    <row r="182" spans="1:11" ht="15.75" customHeight="1">
      <c r="A182" s="1031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5"/>
    </row>
    <row r="183" spans="1:11" ht="7.5" customHeight="1">
      <c r="A183" s="1031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1068"/>
    </row>
    <row r="184" spans="1:11" ht="22.5" customHeight="1">
      <c r="A184" s="1031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</row>
    <row r="185" spans="1:11" ht="10.5" customHeight="1">
      <c r="A185" s="1031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1056"/>
    </row>
    <row r="186" spans="1:11" ht="15.75" customHeight="1">
      <c r="A186" s="1031"/>
      <c r="B186" s="1674" t="s">
        <v>1398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</row>
    <row r="187" spans="1:11" ht="15.75" customHeight="1">
      <c r="A187" s="1031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863" t="s">
        <v>390</v>
      </c>
      <c r="K187" s="697"/>
    </row>
    <row r="188" spans="1:11" ht="15.75" customHeight="1">
      <c r="A188" s="1031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2239.7950000000001</v>
      </c>
      <c r="K188" s="789"/>
    </row>
    <row r="189" spans="1:11" ht="15.75" customHeight="1">
      <c r="A189" s="1031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1220.08</v>
      </c>
      <c r="K189" s="789"/>
    </row>
    <row r="190" spans="1:11" ht="15.75" customHeight="1">
      <c r="A190" s="1031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124.96000000000001</v>
      </c>
      <c r="K190" s="789"/>
    </row>
    <row r="191" spans="1:11" ht="15.75" customHeight="1">
      <c r="A191" s="1031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315.33494666666672</v>
      </c>
      <c r="K191" s="789"/>
    </row>
    <row r="192" spans="1:11" ht="15.75" customHeight="1">
      <c r="A192" s="1031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0</v>
      </c>
      <c r="K192" s="789"/>
    </row>
    <row r="193" spans="1:11" ht="15.75" customHeight="1">
      <c r="A193" s="1031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3900.17</v>
      </c>
      <c r="K193" s="789"/>
    </row>
    <row r="194" spans="1:11" ht="15.75" customHeight="1">
      <c r="A194" s="1031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1037.55</v>
      </c>
      <c r="K194" s="789"/>
    </row>
    <row r="195" spans="1:11" ht="15.75" customHeight="1">
      <c r="A195" s="1031"/>
      <c r="B195" s="1600" t="s">
        <v>647</v>
      </c>
      <c r="C195" s="1477"/>
      <c r="D195" s="1477"/>
      <c r="E195" s="1477"/>
      <c r="F195" s="1477"/>
      <c r="G195" s="1477"/>
      <c r="H195" s="1477"/>
      <c r="I195" s="1521"/>
      <c r="J195" s="857">
        <f>J193+J194</f>
        <v>4937.72</v>
      </c>
      <c r="K195" s="789"/>
    </row>
    <row r="196" spans="1:11" ht="35.25" customHeight="1">
      <c r="A196" s="1031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</row>
    <row r="197" spans="1:11" ht="10.5" customHeight="1">
      <c r="A197" s="1031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</row>
    <row r="198" spans="1:11" ht="15.75" customHeight="1">
      <c r="A198" s="1031"/>
      <c r="B198" s="885"/>
      <c r="C198" s="723"/>
      <c r="D198" s="723"/>
      <c r="E198" s="723"/>
      <c r="F198" s="723"/>
      <c r="G198" s="723"/>
      <c r="H198" s="723"/>
      <c r="I198" s="1069"/>
      <c r="J198" s="1070"/>
      <c r="K198" s="1069"/>
    </row>
    <row r="199" spans="1:11" ht="15.75" customHeight="1">
      <c r="A199" s="1031"/>
      <c r="B199" s="1693" t="s">
        <v>1228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</row>
    <row r="200" spans="1:11" ht="42" customHeight="1">
      <c r="A200" s="1031"/>
      <c r="B200" s="1641" t="s">
        <v>503</v>
      </c>
      <c r="C200" s="1477"/>
      <c r="D200" s="1477"/>
      <c r="E200" s="1478"/>
      <c r="F200" s="1641" t="s">
        <v>648</v>
      </c>
      <c r="G200" s="1478"/>
      <c r="H200" s="863" t="s">
        <v>506</v>
      </c>
      <c r="I200" s="1641" t="s">
        <v>507</v>
      </c>
      <c r="J200" s="1478"/>
      <c r="K200" s="697"/>
    </row>
    <row r="201" spans="1:11" ht="39" hidden="1" customHeight="1" outlineLevel="1">
      <c r="A201" s="1031"/>
      <c r="B201" s="1577" t="s">
        <v>508</v>
      </c>
      <c r="C201" s="1477"/>
      <c r="D201" s="1477"/>
      <c r="E201" s="1478"/>
      <c r="F201" s="1694">
        <v>0</v>
      </c>
      <c r="G201" s="1478"/>
      <c r="H201" s="1413">
        <f t="shared" ref="H201:H202" si="3">E201*F201</f>
        <v>0</v>
      </c>
      <c r="I201" s="1694">
        <f t="shared" ref="I201:I203" si="4">F201*H201</f>
        <v>0</v>
      </c>
      <c r="J201" s="1478"/>
      <c r="K201" s="770"/>
    </row>
    <row r="202" spans="1:11" ht="39" hidden="1" customHeight="1" outlineLevel="1">
      <c r="A202" s="1031"/>
      <c r="B202" s="1577" t="s">
        <v>509</v>
      </c>
      <c r="C202" s="1477"/>
      <c r="D202" s="1477"/>
      <c r="E202" s="1478"/>
      <c r="F202" s="1694">
        <v>0</v>
      </c>
      <c r="G202" s="1478"/>
      <c r="H202" s="1413">
        <f t="shared" si="3"/>
        <v>0</v>
      </c>
      <c r="I202" s="1694">
        <f t="shared" si="4"/>
        <v>0</v>
      </c>
      <c r="J202" s="1478"/>
      <c r="K202" s="770"/>
    </row>
    <row r="203" spans="1:11" ht="39" customHeight="1" collapsed="1">
      <c r="A203" s="1031"/>
      <c r="B203" s="1609" t="str">
        <f>B3</f>
        <v>A NÃO TEM MAIS POSTOS-77</v>
      </c>
      <c r="C203" s="1477"/>
      <c r="D203" s="1477"/>
      <c r="E203" s="1478"/>
      <c r="F203" s="1696">
        <f>J195</f>
        <v>4937.72</v>
      </c>
      <c r="G203" s="1478"/>
      <c r="H203" s="1413">
        <f>I17</f>
        <v>0</v>
      </c>
      <c r="I203" s="1694">
        <f t="shared" si="4"/>
        <v>0</v>
      </c>
      <c r="J203" s="1478"/>
      <c r="K203" s="770"/>
    </row>
    <row r="204" spans="1:11" ht="39" hidden="1" customHeight="1" outlineLevel="1">
      <c r="A204" s="1031"/>
      <c r="B204" s="1577" t="s">
        <v>511</v>
      </c>
      <c r="C204" s="1477"/>
      <c r="D204" s="1477"/>
      <c r="E204" s="1478"/>
      <c r="F204" s="1696">
        <v>0</v>
      </c>
      <c r="G204" s="1478"/>
      <c r="H204" s="1413">
        <f t="shared" ref="H204:I204" si="5">E204*G204</f>
        <v>0</v>
      </c>
      <c r="I204" s="1694">
        <f t="shared" si="5"/>
        <v>0</v>
      </c>
      <c r="J204" s="1478"/>
      <c r="K204" s="770"/>
    </row>
    <row r="205" spans="1:11" ht="39" hidden="1" customHeight="1" outlineLevel="1">
      <c r="A205" s="1031"/>
      <c r="B205" s="1577" t="s">
        <v>512</v>
      </c>
      <c r="C205" s="1477"/>
      <c r="D205" s="1477"/>
      <c r="E205" s="1478"/>
      <c r="F205" s="1696">
        <v>0</v>
      </c>
      <c r="G205" s="1478"/>
      <c r="H205" s="1413">
        <f t="shared" ref="H205:I205" si="6">E205*G205</f>
        <v>0</v>
      </c>
      <c r="I205" s="1694">
        <f t="shared" si="6"/>
        <v>0</v>
      </c>
      <c r="J205" s="1478"/>
      <c r="K205" s="770"/>
    </row>
    <row r="206" spans="1:11" ht="39" hidden="1" customHeight="1" outlineLevel="1">
      <c r="A206" s="1031"/>
      <c r="B206" s="1730" t="s">
        <v>1399</v>
      </c>
      <c r="C206" s="1477"/>
      <c r="D206" s="1477"/>
      <c r="E206" s="1478"/>
      <c r="F206" s="1694">
        <v>0</v>
      </c>
      <c r="G206" s="1478"/>
      <c r="H206" s="1413">
        <f t="shared" ref="H206:I206" si="7">E206*G206</f>
        <v>0</v>
      </c>
      <c r="I206" s="1694">
        <f t="shared" si="7"/>
        <v>0</v>
      </c>
      <c r="J206" s="1478"/>
      <c r="K206" s="770"/>
    </row>
    <row r="207" spans="1:11" ht="15.75" customHeight="1" collapsed="1">
      <c r="A207" s="1031"/>
      <c r="B207" s="1699" t="s">
        <v>514</v>
      </c>
      <c r="C207" s="1477"/>
      <c r="D207" s="1477"/>
      <c r="E207" s="1477"/>
      <c r="F207" s="1477"/>
      <c r="G207" s="1478"/>
      <c r="H207" s="1414">
        <f>SUM(H201:H206)</f>
        <v>0</v>
      </c>
      <c r="I207" s="1786">
        <f>SUM(I201:J206)</f>
        <v>0</v>
      </c>
      <c r="J207" s="1478"/>
      <c r="K207" s="1283"/>
    </row>
    <row r="208" spans="1:11" ht="9" customHeight="1">
      <c r="A208" s="1031"/>
      <c r="B208" s="1700"/>
      <c r="C208" s="1701"/>
      <c r="D208" s="1701"/>
      <c r="E208" s="1701"/>
      <c r="F208" s="1701"/>
      <c r="G208" s="1701"/>
      <c r="H208" s="1701"/>
      <c r="I208" s="1701"/>
      <c r="J208" s="1702"/>
      <c r="K208" s="1056"/>
    </row>
    <row r="209" spans="1:11" ht="15.75" customHeight="1">
      <c r="A209" s="1031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</row>
    <row r="210" spans="1:11" ht="9" customHeight="1">
      <c r="A210" s="1031"/>
      <c r="B210" s="1724"/>
      <c r="C210" s="1477"/>
      <c r="D210" s="1477"/>
      <c r="E210" s="1477"/>
      <c r="F210" s="1477"/>
      <c r="G210" s="1477"/>
      <c r="H210" s="1477"/>
      <c r="I210" s="1477"/>
      <c r="J210" s="1478"/>
      <c r="K210" s="1284"/>
    </row>
    <row r="211" spans="1:11" ht="15.75" customHeight="1">
      <c r="A211" s="1031"/>
      <c r="B211" s="1563" t="s">
        <v>516</v>
      </c>
      <c r="C211" s="1477"/>
      <c r="D211" s="1477"/>
      <c r="E211" s="1477"/>
      <c r="F211" s="1477"/>
      <c r="G211" s="1478"/>
      <c r="H211" s="1564">
        <f>$I$207</f>
        <v>0</v>
      </c>
      <c r="I211" s="1477"/>
      <c r="J211" s="1478"/>
      <c r="K211" s="901"/>
    </row>
    <row r="212" spans="1:11" ht="9" customHeight="1">
      <c r="A212" s="1031"/>
      <c r="B212" s="1725"/>
      <c r="C212" s="1528"/>
      <c r="D212" s="1528"/>
      <c r="E212" s="1528"/>
      <c r="F212" s="1528"/>
      <c r="G212" s="1528"/>
      <c r="H212" s="1528"/>
      <c r="I212" s="1528"/>
      <c r="J212" s="1566"/>
      <c r="K212" s="1285"/>
    </row>
    <row r="213" spans="1:11" ht="15.75" customHeight="1">
      <c r="A213" s="1031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</row>
    <row r="214" spans="1:11" ht="9" customHeight="1">
      <c r="A214" s="1031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</row>
    <row r="215" spans="1:11" ht="15.75" customHeight="1">
      <c r="A215" s="1031"/>
      <c r="B215" s="1563" t="s">
        <v>1400</v>
      </c>
      <c r="C215" s="1477"/>
      <c r="D215" s="1477"/>
      <c r="E215" s="1477"/>
      <c r="F215" s="1477"/>
      <c r="G215" s="1478"/>
      <c r="H215" s="1569">
        <f>ROUND(H211*H213,2)</f>
        <v>0</v>
      </c>
      <c r="I215" s="1477"/>
      <c r="J215" s="1478"/>
      <c r="K215" s="1286"/>
    </row>
    <row r="216" spans="1:11" ht="9" customHeight="1">
      <c r="A216" s="1031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</row>
    <row r="217" spans="1:11" ht="15.75" customHeight="1">
      <c r="A217" s="1031"/>
      <c r="B217" s="1031"/>
      <c r="C217" s="1031"/>
      <c r="D217" s="1031"/>
      <c r="E217" s="1031"/>
      <c r="F217" s="1031"/>
      <c r="G217" s="1031"/>
      <c r="H217" s="1031"/>
      <c r="I217" s="1031"/>
      <c r="J217" s="1031"/>
      <c r="K217" s="1031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2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6E3BC"/>
    <pageSetUpPr fitToPage="1"/>
  </sheetPr>
  <dimension ref="A1:HN247"/>
  <sheetViews>
    <sheetView view="pageBreakPreview" topLeftCell="A4" zoomScale="60" zoomScaleNormal="100" workbookViewId="0">
      <pane xSplit="4" topLeftCell="BW1" activePane="topRight" state="frozen"/>
      <selection pane="topRight" activeCell="F2" sqref="F2"/>
    </sheetView>
  </sheetViews>
  <sheetFormatPr defaultColWidth="14.453125" defaultRowHeight="15" customHeight="1"/>
  <cols>
    <col min="1" max="1" width="6.54296875" customWidth="1"/>
    <col min="2" max="2" width="10.26953125" customWidth="1"/>
    <col min="3" max="3" width="28.81640625" customWidth="1"/>
    <col min="4" max="4" width="34.81640625" customWidth="1"/>
    <col min="5" max="5" width="13.26953125" customWidth="1"/>
    <col min="6" max="6" width="10.7265625" customWidth="1"/>
    <col min="7" max="7" width="27.81640625" customWidth="1"/>
    <col min="8" max="8" width="11.7265625" hidden="1" customWidth="1"/>
    <col min="9" max="9" width="32.81640625" hidden="1" customWidth="1"/>
    <col min="10" max="10" width="20" hidden="1" customWidth="1"/>
    <col min="11" max="11" width="20.08984375" hidden="1" customWidth="1"/>
    <col min="12" max="12" width="32.54296875" hidden="1" customWidth="1"/>
    <col min="13" max="13" width="16.81640625" hidden="1" customWidth="1"/>
    <col min="14" max="14" width="17.81640625" hidden="1" customWidth="1"/>
    <col min="15" max="15" width="27.81640625" hidden="1" customWidth="1"/>
    <col min="16" max="16" width="20.08984375" hidden="1" customWidth="1"/>
    <col min="17" max="17" width="19.54296875" hidden="1" customWidth="1"/>
    <col min="18" max="18" width="24.453125" hidden="1" customWidth="1"/>
    <col min="19" max="19" width="17.26953125" hidden="1" customWidth="1"/>
    <col min="20" max="20" width="15.81640625" hidden="1" customWidth="1"/>
    <col min="21" max="21" width="20.08984375" hidden="1" customWidth="1"/>
    <col min="22" max="23" width="15.81640625" hidden="1" customWidth="1"/>
    <col min="24" max="24" width="27.81640625" customWidth="1"/>
    <col min="25" max="25" width="15.81640625" hidden="1" customWidth="1"/>
    <col min="26" max="26" width="20.08984375" hidden="1" customWidth="1"/>
    <col min="27" max="27" width="20" hidden="1" customWidth="1"/>
    <col min="28" max="28" width="20.08984375" hidden="1" customWidth="1"/>
    <col min="29" max="29" width="32.54296875" hidden="1" customWidth="1"/>
    <col min="30" max="30" width="20.81640625" hidden="1" customWidth="1"/>
    <col min="31" max="31" width="17.81640625" hidden="1" customWidth="1"/>
    <col min="32" max="32" width="27.81640625" hidden="1" customWidth="1"/>
    <col min="33" max="33" width="20.08984375" hidden="1" customWidth="1"/>
    <col min="34" max="34" width="19.54296875" hidden="1" customWidth="1"/>
    <col min="35" max="35" width="24.453125" hidden="1" customWidth="1"/>
    <col min="36" max="37" width="15.26953125" hidden="1" customWidth="1"/>
    <col min="38" max="38" width="8" hidden="1" customWidth="1"/>
    <col min="39" max="39" width="15.26953125" hidden="1" customWidth="1"/>
    <col min="40" max="40" width="9.7265625" hidden="1" customWidth="1"/>
    <col min="41" max="41" width="27.81640625" customWidth="1"/>
    <col min="42" max="42" width="10" hidden="1" customWidth="1"/>
    <col min="43" max="43" width="22.08984375" hidden="1" customWidth="1"/>
    <col min="44" max="44" width="20" hidden="1" customWidth="1"/>
    <col min="45" max="45" width="20.08984375" hidden="1" customWidth="1"/>
    <col min="46" max="46" width="32.54296875" hidden="1" customWidth="1"/>
    <col min="47" max="47" width="14.453125" hidden="1" customWidth="1"/>
    <col min="48" max="48" width="17.81640625" hidden="1" customWidth="1"/>
    <col min="49" max="49" width="27.81640625" hidden="1" customWidth="1"/>
    <col min="50" max="50" width="20.08984375" hidden="1" customWidth="1"/>
    <col min="51" max="51" width="19.54296875" hidden="1" customWidth="1"/>
    <col min="52" max="52" width="24.453125" hidden="1" customWidth="1"/>
    <col min="53" max="53" width="18.453125" hidden="1" customWidth="1"/>
    <col min="54" max="54" width="15.26953125" hidden="1" customWidth="1"/>
    <col min="55" max="55" width="8" hidden="1" customWidth="1"/>
    <col min="56" max="56" width="15.26953125" hidden="1" customWidth="1"/>
    <col min="57" max="57" width="11.7265625" hidden="1" customWidth="1"/>
    <col min="58" max="58" width="27.81640625" customWidth="1"/>
    <col min="59" max="59" width="9.7265625" hidden="1" customWidth="1"/>
    <col min="60" max="60" width="22.08984375" hidden="1" customWidth="1"/>
    <col min="61" max="61" width="20" hidden="1" customWidth="1"/>
    <col min="62" max="62" width="19" hidden="1" customWidth="1"/>
    <col min="63" max="63" width="32.08984375" hidden="1" customWidth="1"/>
    <col min="64" max="64" width="17.26953125" hidden="1" customWidth="1"/>
    <col min="65" max="65" width="17.81640625" hidden="1" customWidth="1"/>
    <col min="66" max="66" width="27.81640625" hidden="1" customWidth="1"/>
    <col min="67" max="67" width="20.08984375" hidden="1" customWidth="1"/>
    <col min="68" max="68" width="19.54296875" hidden="1" customWidth="1"/>
    <col min="69" max="69" width="24.81640625" hidden="1" customWidth="1"/>
    <col min="70" max="70" width="18.453125" hidden="1" customWidth="1"/>
    <col min="71" max="71" width="15.26953125" hidden="1" customWidth="1"/>
    <col min="72" max="72" width="8" hidden="1" customWidth="1"/>
    <col min="73" max="73" width="15.26953125" hidden="1" customWidth="1"/>
    <col min="74" max="74" width="11.7265625" hidden="1" customWidth="1"/>
    <col min="75" max="75" width="27.81640625" customWidth="1"/>
    <col min="76" max="76" width="10" hidden="1" customWidth="1"/>
    <col min="77" max="77" width="22.08984375" hidden="1" customWidth="1"/>
    <col min="78" max="78" width="20" hidden="1" customWidth="1"/>
    <col min="79" max="79" width="19" hidden="1" customWidth="1"/>
    <col min="80" max="80" width="32.08984375" hidden="1" customWidth="1"/>
    <col min="81" max="81" width="14.453125" hidden="1" customWidth="1"/>
    <col min="82" max="82" width="17.81640625" hidden="1" customWidth="1"/>
    <col min="83" max="83" width="27.81640625" hidden="1" customWidth="1"/>
    <col min="84" max="84" width="20.08984375" hidden="1" customWidth="1"/>
    <col min="85" max="85" width="19.54296875" hidden="1" customWidth="1"/>
    <col min="86" max="86" width="24.81640625" hidden="1" customWidth="1"/>
    <col min="87" max="87" width="18.453125" hidden="1" customWidth="1"/>
    <col min="88" max="88" width="15.26953125" hidden="1" customWidth="1"/>
    <col min="89" max="89" width="8" hidden="1" customWidth="1"/>
    <col min="90" max="90" width="15.26953125" hidden="1" customWidth="1"/>
    <col min="91" max="91" width="11.7265625" hidden="1" customWidth="1"/>
    <col min="92" max="92" width="27.81640625" customWidth="1"/>
    <col min="93" max="93" width="9.7265625" hidden="1" customWidth="1"/>
    <col min="94" max="94" width="22.08984375" hidden="1" customWidth="1"/>
    <col min="95" max="95" width="20" hidden="1" customWidth="1"/>
    <col min="96" max="96" width="19" hidden="1" customWidth="1"/>
    <col min="97" max="97" width="32.08984375" hidden="1" customWidth="1"/>
    <col min="98" max="98" width="14.453125" hidden="1" customWidth="1"/>
    <col min="99" max="99" width="17.81640625" hidden="1" customWidth="1"/>
    <col min="100" max="100" width="27.81640625" hidden="1" customWidth="1"/>
    <col min="101" max="101" width="20.08984375" hidden="1" customWidth="1"/>
    <col min="102" max="102" width="19.54296875" hidden="1" customWidth="1"/>
    <col min="103" max="103" width="24.453125" hidden="1" customWidth="1"/>
    <col min="104" max="104" width="18.453125" hidden="1" customWidth="1"/>
    <col min="105" max="105" width="15.26953125" hidden="1" customWidth="1"/>
    <col min="106" max="106" width="8" hidden="1" customWidth="1"/>
    <col min="107" max="107" width="15.26953125" hidden="1" customWidth="1"/>
    <col min="108" max="108" width="11.7265625" hidden="1" customWidth="1"/>
    <col min="109" max="109" width="23" customWidth="1"/>
    <col min="110" max="110" width="9.7265625" hidden="1" customWidth="1"/>
    <col min="111" max="111" width="22.08984375" hidden="1" customWidth="1"/>
    <col min="112" max="112" width="20" hidden="1" customWidth="1"/>
    <col min="113" max="113" width="19" hidden="1" customWidth="1"/>
    <col min="114" max="114" width="32.08984375" hidden="1" customWidth="1"/>
    <col min="115" max="115" width="14.453125" hidden="1" customWidth="1"/>
    <col min="116" max="116" width="17.81640625" hidden="1" customWidth="1"/>
    <col min="117" max="117" width="27.81640625" hidden="1" customWidth="1"/>
    <col min="118" max="118" width="20.08984375" hidden="1" customWidth="1"/>
    <col min="119" max="119" width="19.54296875" hidden="1" customWidth="1"/>
    <col min="120" max="120" width="24.453125" hidden="1" customWidth="1"/>
    <col min="121" max="121" width="18.453125" hidden="1" customWidth="1"/>
    <col min="122" max="122" width="15.26953125" hidden="1" customWidth="1"/>
    <col min="123" max="123" width="8" hidden="1" customWidth="1"/>
    <col min="124" max="124" width="15.26953125" hidden="1" customWidth="1"/>
    <col min="125" max="125" width="11.7265625" hidden="1" customWidth="1"/>
    <col min="126" max="126" width="7.26953125" customWidth="1"/>
    <col min="127" max="127" width="9.7265625" hidden="1" customWidth="1"/>
    <col min="128" max="128" width="18" hidden="1" customWidth="1"/>
    <col min="129" max="129" width="20" hidden="1" customWidth="1"/>
    <col min="130" max="130" width="14.453125" hidden="1" customWidth="1"/>
    <col min="131" max="131" width="32.08984375" hidden="1" customWidth="1"/>
    <col min="132" max="132" width="14.453125" hidden="1" customWidth="1"/>
    <col min="133" max="133" width="17.81640625" hidden="1" customWidth="1"/>
    <col min="134" max="134" width="27.81640625" hidden="1" customWidth="1"/>
    <col min="135" max="135" width="20.08984375" hidden="1" customWidth="1"/>
    <col min="136" max="136" width="19.54296875" hidden="1" customWidth="1"/>
    <col min="137" max="137" width="24.453125" hidden="1" customWidth="1"/>
    <col min="138" max="138" width="18.453125" hidden="1" customWidth="1"/>
    <col min="139" max="139" width="15.26953125" hidden="1" customWidth="1"/>
    <col min="140" max="140" width="8" hidden="1" customWidth="1"/>
    <col min="141" max="141" width="15.26953125" hidden="1" customWidth="1"/>
    <col min="142" max="142" width="11.7265625" hidden="1" customWidth="1"/>
    <col min="143" max="143" width="9" customWidth="1"/>
    <col min="144" max="144" width="9.7265625" hidden="1" customWidth="1"/>
    <col min="145" max="145" width="17.26953125" hidden="1" customWidth="1"/>
    <col min="146" max="146" width="20" hidden="1" customWidth="1"/>
    <col min="147" max="147" width="19" hidden="1" customWidth="1"/>
    <col min="148" max="148" width="32.08984375" hidden="1" customWidth="1"/>
    <col min="149" max="149" width="14.453125" hidden="1" customWidth="1"/>
    <col min="150" max="150" width="17.81640625" hidden="1" customWidth="1"/>
    <col min="151" max="151" width="27.81640625" hidden="1" customWidth="1"/>
    <col min="152" max="152" width="20.08984375" hidden="1" customWidth="1"/>
    <col min="153" max="153" width="19.54296875" hidden="1" customWidth="1"/>
    <col min="154" max="154" width="24.453125" hidden="1" customWidth="1"/>
    <col min="155" max="155" width="18.453125" hidden="1" customWidth="1"/>
    <col min="156" max="156" width="15.26953125" hidden="1" customWidth="1"/>
    <col min="157" max="157" width="8" hidden="1" customWidth="1"/>
    <col min="158" max="158" width="15.26953125" hidden="1" customWidth="1"/>
    <col min="159" max="159" width="11.7265625" hidden="1" customWidth="1"/>
    <col min="160" max="160" width="8.7265625" customWidth="1"/>
    <col min="161" max="161" width="9.7265625" hidden="1" customWidth="1"/>
    <col min="162" max="162" width="15.26953125" hidden="1" customWidth="1"/>
    <col min="163" max="163" width="20" hidden="1" customWidth="1"/>
    <col min="164" max="164" width="19" hidden="1" customWidth="1"/>
    <col min="165" max="165" width="32.08984375" hidden="1" customWidth="1"/>
    <col min="166" max="166" width="14.453125" hidden="1" customWidth="1"/>
    <col min="167" max="167" width="17.81640625" hidden="1" customWidth="1"/>
    <col min="168" max="168" width="27.81640625" hidden="1" customWidth="1"/>
    <col min="169" max="169" width="20.08984375" hidden="1" customWidth="1"/>
    <col min="170" max="170" width="19.54296875" hidden="1" customWidth="1"/>
    <col min="171" max="171" width="24.453125" hidden="1" customWidth="1"/>
    <col min="172" max="172" width="18.453125" hidden="1" customWidth="1"/>
    <col min="173" max="173" width="15.26953125" hidden="1" customWidth="1"/>
    <col min="174" max="174" width="8" hidden="1" customWidth="1"/>
    <col min="175" max="175" width="15.26953125" hidden="1" customWidth="1"/>
    <col min="176" max="176" width="11.7265625" hidden="1" customWidth="1"/>
    <col min="177" max="177" width="8.453125" customWidth="1"/>
    <col min="178" max="178" width="9.7265625" hidden="1" customWidth="1"/>
    <col min="179" max="179" width="15.26953125" hidden="1" customWidth="1"/>
    <col min="180" max="180" width="20" hidden="1" customWidth="1"/>
    <col min="181" max="181" width="19" hidden="1" customWidth="1"/>
    <col min="182" max="182" width="32.08984375" hidden="1" customWidth="1"/>
    <col min="183" max="183" width="14.453125" hidden="1" customWidth="1"/>
    <col min="184" max="184" width="17.81640625" hidden="1" customWidth="1"/>
    <col min="185" max="185" width="27.81640625" hidden="1" customWidth="1"/>
    <col min="186" max="186" width="20.08984375" hidden="1" customWidth="1"/>
    <col min="187" max="187" width="19.54296875" hidden="1" customWidth="1"/>
    <col min="188" max="188" width="24.453125" hidden="1" customWidth="1"/>
    <col min="189" max="189" width="18.453125" hidden="1" customWidth="1"/>
    <col min="190" max="190" width="15.26953125" hidden="1" customWidth="1"/>
    <col min="191" max="191" width="8" hidden="1" customWidth="1"/>
    <col min="192" max="192" width="15.26953125" hidden="1" customWidth="1"/>
    <col min="193" max="193" width="11.7265625" hidden="1" customWidth="1"/>
    <col min="194" max="194" width="7.26953125" customWidth="1"/>
    <col min="195" max="195" width="9.7265625" hidden="1" customWidth="1"/>
    <col min="196" max="196" width="15.26953125" hidden="1" customWidth="1"/>
    <col min="197" max="197" width="20" hidden="1" customWidth="1"/>
    <col min="198" max="198" width="19" hidden="1" customWidth="1"/>
    <col min="199" max="199" width="32.08984375" hidden="1" customWidth="1"/>
    <col min="200" max="200" width="14.453125" hidden="1" customWidth="1"/>
    <col min="201" max="201" width="17.81640625" hidden="1" customWidth="1"/>
    <col min="202" max="202" width="27.81640625" hidden="1" customWidth="1"/>
    <col min="203" max="203" width="20.08984375" hidden="1" customWidth="1"/>
    <col min="204" max="204" width="15.26953125" hidden="1" customWidth="1"/>
    <col min="205" max="205" width="24.453125" hidden="1" customWidth="1"/>
    <col min="206" max="206" width="18.453125" hidden="1" customWidth="1"/>
    <col min="207" max="207" width="15.26953125" hidden="1" customWidth="1"/>
    <col min="208" max="208" width="9.7265625" hidden="1" customWidth="1"/>
    <col min="209" max="209" width="15.26953125" hidden="1" customWidth="1"/>
    <col min="210" max="210" width="19" hidden="1" customWidth="1"/>
    <col min="211" max="222" width="14.453125" customWidth="1"/>
  </cols>
  <sheetData>
    <row r="1" spans="1:222" ht="35.25" customHeight="1">
      <c r="A1" s="13" t="b">
        <v>1</v>
      </c>
      <c r="B1" s="1474"/>
      <c r="C1" s="1456"/>
      <c r="D1" s="1475"/>
      <c r="E1" s="13">
        <v>5</v>
      </c>
      <c r="F1" s="13">
        <f t="shared" ref="F1:HC1" si="0">E1+1</f>
        <v>6</v>
      </c>
      <c r="G1" s="13">
        <f t="shared" si="0"/>
        <v>7</v>
      </c>
      <c r="H1" s="13">
        <f t="shared" si="0"/>
        <v>8</v>
      </c>
      <c r="I1" s="13">
        <f t="shared" si="0"/>
        <v>9</v>
      </c>
      <c r="J1" s="13">
        <f t="shared" si="0"/>
        <v>10</v>
      </c>
      <c r="K1" s="13">
        <f t="shared" si="0"/>
        <v>11</v>
      </c>
      <c r="L1" s="13">
        <f t="shared" si="0"/>
        <v>12</v>
      </c>
      <c r="M1" s="13">
        <f t="shared" si="0"/>
        <v>13</v>
      </c>
      <c r="N1" s="13">
        <f t="shared" si="0"/>
        <v>14</v>
      </c>
      <c r="O1" s="13">
        <f t="shared" si="0"/>
        <v>15</v>
      </c>
      <c r="P1" s="13">
        <f t="shared" si="0"/>
        <v>16</v>
      </c>
      <c r="Q1" s="13">
        <f t="shared" si="0"/>
        <v>17</v>
      </c>
      <c r="R1" s="13">
        <f t="shared" si="0"/>
        <v>18</v>
      </c>
      <c r="S1" s="13">
        <f t="shared" si="0"/>
        <v>19</v>
      </c>
      <c r="T1" s="13">
        <f t="shared" si="0"/>
        <v>20</v>
      </c>
      <c r="U1" s="13">
        <f t="shared" si="0"/>
        <v>21</v>
      </c>
      <c r="V1" s="13">
        <f t="shared" si="0"/>
        <v>22</v>
      </c>
      <c r="W1" s="13">
        <f t="shared" si="0"/>
        <v>23</v>
      </c>
      <c r="X1" s="13">
        <f t="shared" si="0"/>
        <v>24</v>
      </c>
      <c r="Y1" s="13">
        <f t="shared" si="0"/>
        <v>25</v>
      </c>
      <c r="Z1" s="13">
        <f t="shared" si="0"/>
        <v>26</v>
      </c>
      <c r="AA1" s="13">
        <f t="shared" si="0"/>
        <v>27</v>
      </c>
      <c r="AB1" s="13">
        <f t="shared" si="0"/>
        <v>28</v>
      </c>
      <c r="AC1" s="13">
        <f t="shared" si="0"/>
        <v>29</v>
      </c>
      <c r="AD1" s="13">
        <f t="shared" si="0"/>
        <v>30</v>
      </c>
      <c r="AE1" s="13">
        <f t="shared" si="0"/>
        <v>31</v>
      </c>
      <c r="AF1" s="13">
        <f t="shared" si="0"/>
        <v>32</v>
      </c>
      <c r="AG1" s="13">
        <f t="shared" si="0"/>
        <v>33</v>
      </c>
      <c r="AH1" s="13">
        <f t="shared" si="0"/>
        <v>34</v>
      </c>
      <c r="AI1" s="13">
        <f t="shared" si="0"/>
        <v>35</v>
      </c>
      <c r="AJ1" s="13">
        <f t="shared" si="0"/>
        <v>36</v>
      </c>
      <c r="AK1" s="13">
        <f t="shared" si="0"/>
        <v>37</v>
      </c>
      <c r="AL1" s="13">
        <f t="shared" si="0"/>
        <v>38</v>
      </c>
      <c r="AM1" s="13">
        <f t="shared" si="0"/>
        <v>39</v>
      </c>
      <c r="AN1" s="13">
        <f t="shared" si="0"/>
        <v>40</v>
      </c>
      <c r="AO1" s="13">
        <f t="shared" si="0"/>
        <v>41</v>
      </c>
      <c r="AP1" s="13">
        <f t="shared" si="0"/>
        <v>42</v>
      </c>
      <c r="AQ1" s="13">
        <f t="shared" si="0"/>
        <v>43</v>
      </c>
      <c r="AR1" s="13">
        <f t="shared" si="0"/>
        <v>44</v>
      </c>
      <c r="AS1" s="13">
        <f t="shared" si="0"/>
        <v>45</v>
      </c>
      <c r="AT1" s="13">
        <f t="shared" si="0"/>
        <v>46</v>
      </c>
      <c r="AU1" s="13">
        <f t="shared" si="0"/>
        <v>47</v>
      </c>
      <c r="AV1" s="13">
        <f t="shared" si="0"/>
        <v>48</v>
      </c>
      <c r="AW1" s="13">
        <f t="shared" si="0"/>
        <v>49</v>
      </c>
      <c r="AX1" s="13">
        <f t="shared" si="0"/>
        <v>50</v>
      </c>
      <c r="AY1" s="13">
        <f t="shared" si="0"/>
        <v>51</v>
      </c>
      <c r="AZ1" s="13">
        <f t="shared" si="0"/>
        <v>52</v>
      </c>
      <c r="BA1" s="13">
        <f t="shared" si="0"/>
        <v>53</v>
      </c>
      <c r="BB1" s="13">
        <f t="shared" si="0"/>
        <v>54</v>
      </c>
      <c r="BC1" s="13">
        <f t="shared" si="0"/>
        <v>55</v>
      </c>
      <c r="BD1" s="13">
        <f t="shared" si="0"/>
        <v>56</v>
      </c>
      <c r="BE1" s="13">
        <f t="shared" si="0"/>
        <v>57</v>
      </c>
      <c r="BF1" s="13">
        <f t="shared" si="0"/>
        <v>58</v>
      </c>
      <c r="BG1" s="13">
        <f t="shared" si="0"/>
        <v>59</v>
      </c>
      <c r="BH1" s="13">
        <f t="shared" si="0"/>
        <v>60</v>
      </c>
      <c r="BI1" s="13">
        <f t="shared" si="0"/>
        <v>61</v>
      </c>
      <c r="BJ1" s="13">
        <f t="shared" si="0"/>
        <v>62</v>
      </c>
      <c r="BK1" s="13">
        <f t="shared" si="0"/>
        <v>63</v>
      </c>
      <c r="BL1" s="13">
        <f t="shared" si="0"/>
        <v>64</v>
      </c>
      <c r="BM1" s="13">
        <f t="shared" si="0"/>
        <v>65</v>
      </c>
      <c r="BN1" s="13">
        <f t="shared" si="0"/>
        <v>66</v>
      </c>
      <c r="BO1" s="13">
        <f t="shared" si="0"/>
        <v>67</v>
      </c>
      <c r="BP1" s="13">
        <f t="shared" si="0"/>
        <v>68</v>
      </c>
      <c r="BQ1" s="13">
        <f t="shared" si="0"/>
        <v>69</v>
      </c>
      <c r="BR1" s="13">
        <f t="shared" si="0"/>
        <v>70</v>
      </c>
      <c r="BS1" s="13">
        <f t="shared" si="0"/>
        <v>71</v>
      </c>
      <c r="BT1" s="13">
        <f t="shared" si="0"/>
        <v>72</v>
      </c>
      <c r="BU1" s="13">
        <f t="shared" si="0"/>
        <v>73</v>
      </c>
      <c r="BV1" s="13">
        <f t="shared" si="0"/>
        <v>74</v>
      </c>
      <c r="BW1" s="13">
        <f t="shared" si="0"/>
        <v>75</v>
      </c>
      <c r="BX1" s="13">
        <f t="shared" si="0"/>
        <v>76</v>
      </c>
      <c r="BY1" s="13">
        <f t="shared" si="0"/>
        <v>77</v>
      </c>
      <c r="BZ1" s="13">
        <f t="shared" si="0"/>
        <v>78</v>
      </c>
      <c r="CA1" s="13">
        <f t="shared" si="0"/>
        <v>79</v>
      </c>
      <c r="CB1" s="13">
        <f t="shared" si="0"/>
        <v>80</v>
      </c>
      <c r="CC1" s="13">
        <f t="shared" si="0"/>
        <v>81</v>
      </c>
      <c r="CD1" s="13">
        <f t="shared" si="0"/>
        <v>82</v>
      </c>
      <c r="CE1" s="13">
        <f t="shared" si="0"/>
        <v>83</v>
      </c>
      <c r="CF1" s="13">
        <f t="shared" si="0"/>
        <v>84</v>
      </c>
      <c r="CG1" s="13">
        <f t="shared" si="0"/>
        <v>85</v>
      </c>
      <c r="CH1" s="13">
        <f t="shared" si="0"/>
        <v>86</v>
      </c>
      <c r="CI1" s="13">
        <f t="shared" si="0"/>
        <v>87</v>
      </c>
      <c r="CJ1" s="13">
        <f t="shared" si="0"/>
        <v>88</v>
      </c>
      <c r="CK1" s="13">
        <f t="shared" si="0"/>
        <v>89</v>
      </c>
      <c r="CL1" s="13">
        <f t="shared" si="0"/>
        <v>90</v>
      </c>
      <c r="CM1" s="13">
        <f t="shared" si="0"/>
        <v>91</v>
      </c>
      <c r="CN1" s="13">
        <f t="shared" si="0"/>
        <v>92</v>
      </c>
      <c r="CO1" s="13">
        <f t="shared" si="0"/>
        <v>93</v>
      </c>
      <c r="CP1" s="13">
        <f t="shared" si="0"/>
        <v>94</v>
      </c>
      <c r="CQ1" s="13">
        <f t="shared" si="0"/>
        <v>95</v>
      </c>
      <c r="CR1" s="13">
        <f t="shared" si="0"/>
        <v>96</v>
      </c>
      <c r="CS1" s="13">
        <f t="shared" si="0"/>
        <v>97</v>
      </c>
      <c r="CT1" s="13">
        <f t="shared" si="0"/>
        <v>98</v>
      </c>
      <c r="CU1" s="13">
        <f t="shared" si="0"/>
        <v>99</v>
      </c>
      <c r="CV1" s="13">
        <f t="shared" si="0"/>
        <v>100</v>
      </c>
      <c r="CW1" s="13">
        <f t="shared" si="0"/>
        <v>101</v>
      </c>
      <c r="CX1" s="13">
        <f t="shared" si="0"/>
        <v>102</v>
      </c>
      <c r="CY1" s="13">
        <f t="shared" si="0"/>
        <v>103</v>
      </c>
      <c r="CZ1" s="13">
        <f t="shared" si="0"/>
        <v>104</v>
      </c>
      <c r="DA1" s="13">
        <f t="shared" si="0"/>
        <v>105</v>
      </c>
      <c r="DB1" s="13">
        <f t="shared" si="0"/>
        <v>106</v>
      </c>
      <c r="DC1" s="13">
        <f t="shared" si="0"/>
        <v>107</v>
      </c>
      <c r="DD1" s="13">
        <f t="shared" si="0"/>
        <v>108</v>
      </c>
      <c r="DE1" s="13">
        <f t="shared" si="0"/>
        <v>109</v>
      </c>
      <c r="DF1" s="13">
        <f t="shared" si="0"/>
        <v>110</v>
      </c>
      <c r="DG1" s="13">
        <f t="shared" si="0"/>
        <v>111</v>
      </c>
      <c r="DH1" s="13">
        <f t="shared" si="0"/>
        <v>112</v>
      </c>
      <c r="DI1" s="13">
        <f t="shared" si="0"/>
        <v>113</v>
      </c>
      <c r="DJ1" s="13">
        <f t="shared" si="0"/>
        <v>114</v>
      </c>
      <c r="DK1" s="13">
        <f t="shared" si="0"/>
        <v>115</v>
      </c>
      <c r="DL1" s="13">
        <f t="shared" si="0"/>
        <v>116</v>
      </c>
      <c r="DM1" s="13">
        <f t="shared" si="0"/>
        <v>117</v>
      </c>
      <c r="DN1" s="13">
        <f t="shared" si="0"/>
        <v>118</v>
      </c>
      <c r="DO1" s="13">
        <f t="shared" si="0"/>
        <v>119</v>
      </c>
      <c r="DP1" s="13">
        <f t="shared" si="0"/>
        <v>120</v>
      </c>
      <c r="DQ1" s="13">
        <f t="shared" si="0"/>
        <v>121</v>
      </c>
      <c r="DR1" s="13">
        <f t="shared" si="0"/>
        <v>122</v>
      </c>
      <c r="DS1" s="13">
        <f t="shared" si="0"/>
        <v>123</v>
      </c>
      <c r="DT1" s="13">
        <f t="shared" si="0"/>
        <v>124</v>
      </c>
      <c r="DU1" s="13">
        <f t="shared" si="0"/>
        <v>125</v>
      </c>
      <c r="DV1" s="13">
        <f t="shared" si="0"/>
        <v>126</v>
      </c>
      <c r="DW1" s="13">
        <f t="shared" si="0"/>
        <v>127</v>
      </c>
      <c r="DX1" s="13">
        <f t="shared" si="0"/>
        <v>128</v>
      </c>
      <c r="DY1" s="13">
        <f t="shared" si="0"/>
        <v>129</v>
      </c>
      <c r="DZ1" s="13">
        <f t="shared" si="0"/>
        <v>130</v>
      </c>
      <c r="EA1" s="13">
        <f t="shared" si="0"/>
        <v>131</v>
      </c>
      <c r="EB1" s="13">
        <f t="shared" si="0"/>
        <v>132</v>
      </c>
      <c r="EC1" s="13">
        <f t="shared" si="0"/>
        <v>133</v>
      </c>
      <c r="ED1" s="13">
        <f t="shared" si="0"/>
        <v>134</v>
      </c>
      <c r="EE1" s="13">
        <f t="shared" si="0"/>
        <v>135</v>
      </c>
      <c r="EF1" s="13">
        <f t="shared" si="0"/>
        <v>136</v>
      </c>
      <c r="EG1" s="13">
        <f t="shared" si="0"/>
        <v>137</v>
      </c>
      <c r="EH1" s="13">
        <f t="shared" si="0"/>
        <v>138</v>
      </c>
      <c r="EI1" s="13">
        <f t="shared" si="0"/>
        <v>139</v>
      </c>
      <c r="EJ1" s="13">
        <f t="shared" si="0"/>
        <v>140</v>
      </c>
      <c r="EK1" s="13">
        <f t="shared" si="0"/>
        <v>141</v>
      </c>
      <c r="EL1" s="13">
        <f t="shared" si="0"/>
        <v>142</v>
      </c>
      <c r="EM1" s="13">
        <f t="shared" si="0"/>
        <v>143</v>
      </c>
      <c r="EN1" s="13">
        <f t="shared" si="0"/>
        <v>144</v>
      </c>
      <c r="EO1" s="13">
        <f t="shared" si="0"/>
        <v>145</v>
      </c>
      <c r="EP1" s="13">
        <f t="shared" si="0"/>
        <v>146</v>
      </c>
      <c r="EQ1" s="13">
        <f t="shared" si="0"/>
        <v>147</v>
      </c>
      <c r="ER1" s="13">
        <f t="shared" si="0"/>
        <v>148</v>
      </c>
      <c r="ES1" s="13">
        <f t="shared" si="0"/>
        <v>149</v>
      </c>
      <c r="ET1" s="13">
        <f t="shared" si="0"/>
        <v>150</v>
      </c>
      <c r="EU1" s="13">
        <f t="shared" si="0"/>
        <v>151</v>
      </c>
      <c r="EV1" s="13">
        <f t="shared" si="0"/>
        <v>152</v>
      </c>
      <c r="EW1" s="13">
        <f t="shared" si="0"/>
        <v>153</v>
      </c>
      <c r="EX1" s="13">
        <f t="shared" si="0"/>
        <v>154</v>
      </c>
      <c r="EY1" s="13">
        <f t="shared" si="0"/>
        <v>155</v>
      </c>
      <c r="EZ1" s="13">
        <f t="shared" si="0"/>
        <v>156</v>
      </c>
      <c r="FA1" s="13">
        <f t="shared" si="0"/>
        <v>157</v>
      </c>
      <c r="FB1" s="13">
        <f t="shared" si="0"/>
        <v>158</v>
      </c>
      <c r="FC1" s="13">
        <f t="shared" si="0"/>
        <v>159</v>
      </c>
      <c r="FD1" s="13">
        <f t="shared" si="0"/>
        <v>160</v>
      </c>
      <c r="FE1" s="13">
        <f t="shared" si="0"/>
        <v>161</v>
      </c>
      <c r="FF1" s="13">
        <f t="shared" si="0"/>
        <v>162</v>
      </c>
      <c r="FG1" s="13">
        <f t="shared" si="0"/>
        <v>163</v>
      </c>
      <c r="FH1" s="13">
        <f t="shared" si="0"/>
        <v>164</v>
      </c>
      <c r="FI1" s="13">
        <f t="shared" si="0"/>
        <v>165</v>
      </c>
      <c r="FJ1" s="13">
        <f t="shared" si="0"/>
        <v>166</v>
      </c>
      <c r="FK1" s="13">
        <f t="shared" si="0"/>
        <v>167</v>
      </c>
      <c r="FL1" s="13">
        <f t="shared" si="0"/>
        <v>168</v>
      </c>
      <c r="FM1" s="13">
        <f t="shared" si="0"/>
        <v>169</v>
      </c>
      <c r="FN1" s="13">
        <f t="shared" si="0"/>
        <v>170</v>
      </c>
      <c r="FO1" s="13">
        <f t="shared" si="0"/>
        <v>171</v>
      </c>
      <c r="FP1" s="13">
        <f t="shared" si="0"/>
        <v>172</v>
      </c>
      <c r="FQ1" s="13">
        <f t="shared" si="0"/>
        <v>173</v>
      </c>
      <c r="FR1" s="13">
        <f t="shared" si="0"/>
        <v>174</v>
      </c>
      <c r="FS1" s="13">
        <f t="shared" si="0"/>
        <v>175</v>
      </c>
      <c r="FT1" s="13">
        <f t="shared" si="0"/>
        <v>176</v>
      </c>
      <c r="FU1" s="13">
        <f t="shared" si="0"/>
        <v>177</v>
      </c>
      <c r="FV1" s="13">
        <f t="shared" si="0"/>
        <v>178</v>
      </c>
      <c r="FW1" s="13">
        <f t="shared" si="0"/>
        <v>179</v>
      </c>
      <c r="FX1" s="13">
        <f t="shared" si="0"/>
        <v>180</v>
      </c>
      <c r="FY1" s="13">
        <f t="shared" si="0"/>
        <v>181</v>
      </c>
      <c r="FZ1" s="13">
        <f t="shared" si="0"/>
        <v>182</v>
      </c>
      <c r="GA1" s="13">
        <f t="shared" si="0"/>
        <v>183</v>
      </c>
      <c r="GB1" s="13">
        <f t="shared" si="0"/>
        <v>184</v>
      </c>
      <c r="GC1" s="13">
        <f t="shared" si="0"/>
        <v>185</v>
      </c>
      <c r="GD1" s="13">
        <f t="shared" si="0"/>
        <v>186</v>
      </c>
      <c r="GE1" s="13">
        <f t="shared" si="0"/>
        <v>187</v>
      </c>
      <c r="GF1" s="13">
        <f t="shared" si="0"/>
        <v>188</v>
      </c>
      <c r="GG1" s="13">
        <f t="shared" si="0"/>
        <v>189</v>
      </c>
      <c r="GH1" s="13">
        <f t="shared" si="0"/>
        <v>190</v>
      </c>
      <c r="GI1" s="13">
        <f t="shared" si="0"/>
        <v>191</v>
      </c>
      <c r="GJ1" s="13">
        <f t="shared" si="0"/>
        <v>192</v>
      </c>
      <c r="GK1" s="13">
        <f t="shared" si="0"/>
        <v>193</v>
      </c>
      <c r="GL1" s="13">
        <f t="shared" si="0"/>
        <v>194</v>
      </c>
      <c r="GM1" s="13">
        <f t="shared" si="0"/>
        <v>195</v>
      </c>
      <c r="GN1" s="13">
        <f t="shared" si="0"/>
        <v>196</v>
      </c>
      <c r="GO1" s="13">
        <f t="shared" si="0"/>
        <v>197</v>
      </c>
      <c r="GP1" s="13">
        <f t="shared" si="0"/>
        <v>198</v>
      </c>
      <c r="GQ1" s="13">
        <f t="shared" si="0"/>
        <v>199</v>
      </c>
      <c r="GR1" s="13">
        <f t="shared" si="0"/>
        <v>200</v>
      </c>
      <c r="GS1" s="13">
        <f t="shared" si="0"/>
        <v>201</v>
      </c>
      <c r="GT1" s="13">
        <f t="shared" si="0"/>
        <v>202</v>
      </c>
      <c r="GU1" s="13">
        <f t="shared" si="0"/>
        <v>203</v>
      </c>
      <c r="GV1" s="13">
        <f t="shared" si="0"/>
        <v>204</v>
      </c>
      <c r="GW1" s="13">
        <f t="shared" si="0"/>
        <v>205</v>
      </c>
      <c r="GX1" s="13">
        <f t="shared" si="0"/>
        <v>206</v>
      </c>
      <c r="GY1" s="13">
        <f t="shared" si="0"/>
        <v>207</v>
      </c>
      <c r="GZ1" s="13">
        <f t="shared" si="0"/>
        <v>208</v>
      </c>
      <c r="HA1" s="13">
        <f t="shared" si="0"/>
        <v>209</v>
      </c>
      <c r="HB1" s="13">
        <f t="shared" si="0"/>
        <v>210</v>
      </c>
      <c r="HC1" s="13">
        <f t="shared" si="0"/>
        <v>211</v>
      </c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</row>
    <row r="2" spans="1:222" ht="36" customHeight="1">
      <c r="A2" s="13"/>
      <c r="B2" s="14" t="s">
        <v>12</v>
      </c>
      <c r="C2" s="15"/>
      <c r="D2" s="15"/>
      <c r="E2" s="16"/>
      <c r="F2" s="17"/>
      <c r="G2" s="18"/>
      <c r="H2" s="18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</row>
    <row r="3" spans="1:222" ht="39.75" customHeight="1">
      <c r="A3" s="13"/>
      <c r="B3" s="19" t="s">
        <v>13</v>
      </c>
      <c r="C3" s="20" t="s">
        <v>14</v>
      </c>
      <c r="D3" s="21" t="s">
        <v>15</v>
      </c>
      <c r="E3" s="17"/>
      <c r="F3" s="17"/>
      <c r="G3" s="18">
        <v>1</v>
      </c>
      <c r="H3" s="18"/>
      <c r="I3" s="18">
        <f t="shared" ref="I3:W3" si="1">H3+1</f>
        <v>1</v>
      </c>
      <c r="J3" s="18">
        <f t="shared" si="1"/>
        <v>2</v>
      </c>
      <c r="K3" s="18">
        <f t="shared" si="1"/>
        <v>3</v>
      </c>
      <c r="L3" s="18">
        <f t="shared" si="1"/>
        <v>4</v>
      </c>
      <c r="M3" s="18">
        <f t="shared" si="1"/>
        <v>5</v>
      </c>
      <c r="N3" s="18">
        <f t="shared" si="1"/>
        <v>6</v>
      </c>
      <c r="O3" s="18">
        <f t="shared" si="1"/>
        <v>7</v>
      </c>
      <c r="P3" s="18">
        <f t="shared" si="1"/>
        <v>8</v>
      </c>
      <c r="Q3" s="18">
        <f t="shared" si="1"/>
        <v>9</v>
      </c>
      <c r="R3" s="18">
        <f t="shared" si="1"/>
        <v>10</v>
      </c>
      <c r="S3" s="18">
        <f t="shared" si="1"/>
        <v>11</v>
      </c>
      <c r="T3" s="18">
        <f t="shared" si="1"/>
        <v>12</v>
      </c>
      <c r="U3" s="18">
        <f t="shared" si="1"/>
        <v>13</v>
      </c>
      <c r="V3" s="18">
        <f t="shared" si="1"/>
        <v>14</v>
      </c>
      <c r="W3" s="18">
        <f t="shared" si="1"/>
        <v>15</v>
      </c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>
        <f>56+17</f>
        <v>73</v>
      </c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</row>
    <row r="4" spans="1:222" ht="52.5" customHeight="1">
      <c r="A4" s="22"/>
      <c r="B4" s="23"/>
      <c r="C4" s="24" t="s">
        <v>16</v>
      </c>
      <c r="D4" s="24"/>
      <c r="E4" s="22">
        <v>2</v>
      </c>
      <c r="F4" s="22">
        <f t="shared" ref="F4:HC4" si="2">E4+1</f>
        <v>3</v>
      </c>
      <c r="G4" s="25">
        <f t="shared" si="2"/>
        <v>4</v>
      </c>
      <c r="H4" s="22">
        <f t="shared" si="2"/>
        <v>5</v>
      </c>
      <c r="I4" s="22">
        <f t="shared" si="2"/>
        <v>6</v>
      </c>
      <c r="J4" s="22">
        <f t="shared" si="2"/>
        <v>7</v>
      </c>
      <c r="K4" s="22">
        <f t="shared" si="2"/>
        <v>8</v>
      </c>
      <c r="L4" s="22">
        <f t="shared" si="2"/>
        <v>9</v>
      </c>
      <c r="M4" s="22">
        <f t="shared" si="2"/>
        <v>10</v>
      </c>
      <c r="N4" s="22">
        <f t="shared" si="2"/>
        <v>11</v>
      </c>
      <c r="O4" s="26">
        <f t="shared" si="2"/>
        <v>12</v>
      </c>
      <c r="P4" s="22">
        <f t="shared" si="2"/>
        <v>13</v>
      </c>
      <c r="Q4" s="22">
        <f t="shared" si="2"/>
        <v>14</v>
      </c>
      <c r="R4" s="22">
        <f t="shared" si="2"/>
        <v>15</v>
      </c>
      <c r="S4" s="22">
        <f t="shared" si="2"/>
        <v>16</v>
      </c>
      <c r="T4" s="22">
        <f t="shared" si="2"/>
        <v>17</v>
      </c>
      <c r="U4" s="22">
        <f t="shared" si="2"/>
        <v>18</v>
      </c>
      <c r="V4" s="22">
        <f t="shared" si="2"/>
        <v>19</v>
      </c>
      <c r="W4" s="22">
        <f t="shared" si="2"/>
        <v>20</v>
      </c>
      <c r="X4" s="25">
        <f t="shared" si="2"/>
        <v>21</v>
      </c>
      <c r="Y4" s="22">
        <f t="shared" si="2"/>
        <v>22</v>
      </c>
      <c r="Z4" s="22">
        <f t="shared" si="2"/>
        <v>23</v>
      </c>
      <c r="AA4" s="22">
        <f t="shared" si="2"/>
        <v>24</v>
      </c>
      <c r="AB4" s="22">
        <f t="shared" si="2"/>
        <v>25</v>
      </c>
      <c r="AC4" s="22">
        <f t="shared" si="2"/>
        <v>26</v>
      </c>
      <c r="AD4" s="22">
        <f t="shared" si="2"/>
        <v>27</v>
      </c>
      <c r="AE4" s="22">
        <f t="shared" si="2"/>
        <v>28</v>
      </c>
      <c r="AF4" s="26">
        <f t="shared" si="2"/>
        <v>29</v>
      </c>
      <c r="AG4" s="22">
        <f t="shared" si="2"/>
        <v>30</v>
      </c>
      <c r="AH4" s="22">
        <f t="shared" si="2"/>
        <v>31</v>
      </c>
      <c r="AI4" s="22">
        <f t="shared" si="2"/>
        <v>32</v>
      </c>
      <c r="AJ4" s="22">
        <f t="shared" si="2"/>
        <v>33</v>
      </c>
      <c r="AK4" s="22">
        <f t="shared" si="2"/>
        <v>34</v>
      </c>
      <c r="AL4" s="22">
        <f t="shared" si="2"/>
        <v>35</v>
      </c>
      <c r="AM4" s="22">
        <f t="shared" si="2"/>
        <v>36</v>
      </c>
      <c r="AN4" s="22">
        <f t="shared" si="2"/>
        <v>37</v>
      </c>
      <c r="AO4" s="25">
        <f t="shared" si="2"/>
        <v>38</v>
      </c>
      <c r="AP4" s="22">
        <f t="shared" si="2"/>
        <v>39</v>
      </c>
      <c r="AQ4" s="22">
        <f t="shared" si="2"/>
        <v>40</v>
      </c>
      <c r="AR4" s="22">
        <f t="shared" si="2"/>
        <v>41</v>
      </c>
      <c r="AS4" s="22">
        <f t="shared" si="2"/>
        <v>42</v>
      </c>
      <c r="AT4" s="22">
        <f t="shared" si="2"/>
        <v>43</v>
      </c>
      <c r="AU4" s="22">
        <f t="shared" si="2"/>
        <v>44</v>
      </c>
      <c r="AV4" s="22">
        <f t="shared" si="2"/>
        <v>45</v>
      </c>
      <c r="AW4" s="26">
        <f t="shared" si="2"/>
        <v>46</v>
      </c>
      <c r="AX4" s="22">
        <f t="shared" si="2"/>
        <v>47</v>
      </c>
      <c r="AY4" s="22">
        <f t="shared" si="2"/>
        <v>48</v>
      </c>
      <c r="AZ4" s="22">
        <f t="shared" si="2"/>
        <v>49</v>
      </c>
      <c r="BA4" s="22">
        <f t="shared" si="2"/>
        <v>50</v>
      </c>
      <c r="BB4" s="22">
        <f t="shared" si="2"/>
        <v>51</v>
      </c>
      <c r="BC4" s="22">
        <f t="shared" si="2"/>
        <v>52</v>
      </c>
      <c r="BD4" s="22">
        <f t="shared" si="2"/>
        <v>53</v>
      </c>
      <c r="BE4" s="22">
        <f t="shared" si="2"/>
        <v>54</v>
      </c>
      <c r="BF4" s="25">
        <f t="shared" si="2"/>
        <v>55</v>
      </c>
      <c r="BG4" s="22">
        <f t="shared" si="2"/>
        <v>56</v>
      </c>
      <c r="BH4" s="22">
        <f t="shared" si="2"/>
        <v>57</v>
      </c>
      <c r="BI4" s="22">
        <f t="shared" si="2"/>
        <v>58</v>
      </c>
      <c r="BJ4" s="22">
        <f t="shared" si="2"/>
        <v>59</v>
      </c>
      <c r="BK4" s="22">
        <f t="shared" si="2"/>
        <v>60</v>
      </c>
      <c r="BL4" s="22">
        <f t="shared" si="2"/>
        <v>61</v>
      </c>
      <c r="BM4" s="22">
        <f t="shared" si="2"/>
        <v>62</v>
      </c>
      <c r="BN4" s="26">
        <f t="shared" si="2"/>
        <v>63</v>
      </c>
      <c r="BO4" s="22">
        <f t="shared" si="2"/>
        <v>64</v>
      </c>
      <c r="BP4" s="22">
        <f t="shared" si="2"/>
        <v>65</v>
      </c>
      <c r="BQ4" s="22">
        <f t="shared" si="2"/>
        <v>66</v>
      </c>
      <c r="BR4" s="22">
        <f t="shared" si="2"/>
        <v>67</v>
      </c>
      <c r="BS4" s="22">
        <f t="shared" si="2"/>
        <v>68</v>
      </c>
      <c r="BT4" s="22">
        <f t="shared" si="2"/>
        <v>69</v>
      </c>
      <c r="BU4" s="22">
        <f t="shared" si="2"/>
        <v>70</v>
      </c>
      <c r="BV4" s="22">
        <f t="shared" si="2"/>
        <v>71</v>
      </c>
      <c r="BW4" s="25">
        <f t="shared" si="2"/>
        <v>72</v>
      </c>
      <c r="BX4" s="22">
        <f t="shared" si="2"/>
        <v>73</v>
      </c>
      <c r="BY4" s="22">
        <f t="shared" si="2"/>
        <v>74</v>
      </c>
      <c r="BZ4" s="22">
        <f t="shared" si="2"/>
        <v>75</v>
      </c>
      <c r="CA4" s="22">
        <f t="shared" si="2"/>
        <v>76</v>
      </c>
      <c r="CB4" s="22">
        <f t="shared" si="2"/>
        <v>77</v>
      </c>
      <c r="CC4" s="22">
        <f t="shared" si="2"/>
        <v>78</v>
      </c>
      <c r="CD4" s="22">
        <f t="shared" si="2"/>
        <v>79</v>
      </c>
      <c r="CE4" s="26">
        <f t="shared" si="2"/>
        <v>80</v>
      </c>
      <c r="CF4" s="22">
        <f t="shared" si="2"/>
        <v>81</v>
      </c>
      <c r="CG4" s="22">
        <f t="shared" si="2"/>
        <v>82</v>
      </c>
      <c r="CH4" s="22">
        <f t="shared" si="2"/>
        <v>83</v>
      </c>
      <c r="CI4" s="22">
        <f t="shared" si="2"/>
        <v>84</v>
      </c>
      <c r="CJ4" s="22">
        <f t="shared" si="2"/>
        <v>85</v>
      </c>
      <c r="CK4" s="22">
        <f t="shared" si="2"/>
        <v>86</v>
      </c>
      <c r="CL4" s="22">
        <f t="shared" si="2"/>
        <v>87</v>
      </c>
      <c r="CM4" s="22">
        <f t="shared" si="2"/>
        <v>88</v>
      </c>
      <c r="CN4" s="25">
        <f t="shared" si="2"/>
        <v>89</v>
      </c>
      <c r="CO4" s="22">
        <f t="shared" si="2"/>
        <v>90</v>
      </c>
      <c r="CP4" s="22">
        <f t="shared" si="2"/>
        <v>91</v>
      </c>
      <c r="CQ4" s="22">
        <f t="shared" si="2"/>
        <v>92</v>
      </c>
      <c r="CR4" s="22">
        <f t="shared" si="2"/>
        <v>93</v>
      </c>
      <c r="CS4" s="22">
        <f t="shared" si="2"/>
        <v>94</v>
      </c>
      <c r="CT4" s="22">
        <f t="shared" si="2"/>
        <v>95</v>
      </c>
      <c r="CU4" s="22">
        <f t="shared" si="2"/>
        <v>96</v>
      </c>
      <c r="CV4" s="26">
        <f t="shared" si="2"/>
        <v>97</v>
      </c>
      <c r="CW4" s="22">
        <f t="shared" si="2"/>
        <v>98</v>
      </c>
      <c r="CX4" s="22">
        <f t="shared" si="2"/>
        <v>99</v>
      </c>
      <c r="CY4" s="22">
        <f t="shared" si="2"/>
        <v>100</v>
      </c>
      <c r="CZ4" s="22">
        <f t="shared" si="2"/>
        <v>101</v>
      </c>
      <c r="DA4" s="22">
        <f t="shared" si="2"/>
        <v>102</v>
      </c>
      <c r="DB4" s="22">
        <f t="shared" si="2"/>
        <v>103</v>
      </c>
      <c r="DC4" s="22">
        <f t="shared" si="2"/>
        <v>104</v>
      </c>
      <c r="DD4" s="22">
        <f t="shared" si="2"/>
        <v>105</v>
      </c>
      <c r="DE4" s="25">
        <f t="shared" si="2"/>
        <v>106</v>
      </c>
      <c r="DF4" s="22">
        <f t="shared" si="2"/>
        <v>107</v>
      </c>
      <c r="DG4" s="22">
        <f t="shared" si="2"/>
        <v>108</v>
      </c>
      <c r="DH4" s="22">
        <f t="shared" si="2"/>
        <v>109</v>
      </c>
      <c r="DI4" s="22">
        <f t="shared" si="2"/>
        <v>110</v>
      </c>
      <c r="DJ4" s="22">
        <f t="shared" si="2"/>
        <v>111</v>
      </c>
      <c r="DK4" s="22">
        <f t="shared" si="2"/>
        <v>112</v>
      </c>
      <c r="DL4" s="22">
        <f t="shared" si="2"/>
        <v>113</v>
      </c>
      <c r="DM4" s="26">
        <f t="shared" si="2"/>
        <v>114</v>
      </c>
      <c r="DN4" s="22">
        <f t="shared" si="2"/>
        <v>115</v>
      </c>
      <c r="DO4" s="22">
        <f t="shared" si="2"/>
        <v>116</v>
      </c>
      <c r="DP4" s="22">
        <f t="shared" si="2"/>
        <v>117</v>
      </c>
      <c r="DQ4" s="22">
        <f t="shared" si="2"/>
        <v>118</v>
      </c>
      <c r="DR4" s="22">
        <f t="shared" si="2"/>
        <v>119</v>
      </c>
      <c r="DS4" s="22">
        <f t="shared" si="2"/>
        <v>120</v>
      </c>
      <c r="DT4" s="22">
        <f t="shared" si="2"/>
        <v>121</v>
      </c>
      <c r="DU4" s="22">
        <f t="shared" si="2"/>
        <v>122</v>
      </c>
      <c r="DV4" s="25">
        <f t="shared" si="2"/>
        <v>123</v>
      </c>
      <c r="DW4" s="22">
        <f t="shared" si="2"/>
        <v>124</v>
      </c>
      <c r="DX4" s="22">
        <f t="shared" si="2"/>
        <v>125</v>
      </c>
      <c r="DY4" s="22">
        <f t="shared" si="2"/>
        <v>126</v>
      </c>
      <c r="DZ4" s="22">
        <f t="shared" si="2"/>
        <v>127</v>
      </c>
      <c r="EA4" s="22">
        <f t="shared" si="2"/>
        <v>128</v>
      </c>
      <c r="EB4" s="22">
        <f t="shared" si="2"/>
        <v>129</v>
      </c>
      <c r="EC4" s="22">
        <f t="shared" si="2"/>
        <v>130</v>
      </c>
      <c r="ED4" s="26">
        <f t="shared" si="2"/>
        <v>131</v>
      </c>
      <c r="EE4" s="22">
        <f t="shared" si="2"/>
        <v>132</v>
      </c>
      <c r="EF4" s="22">
        <f t="shared" si="2"/>
        <v>133</v>
      </c>
      <c r="EG4" s="22">
        <f t="shared" si="2"/>
        <v>134</v>
      </c>
      <c r="EH4" s="22">
        <f t="shared" si="2"/>
        <v>135</v>
      </c>
      <c r="EI4" s="22">
        <f t="shared" si="2"/>
        <v>136</v>
      </c>
      <c r="EJ4" s="22">
        <f t="shared" si="2"/>
        <v>137</v>
      </c>
      <c r="EK4" s="22">
        <f t="shared" si="2"/>
        <v>138</v>
      </c>
      <c r="EL4" s="22">
        <f t="shared" si="2"/>
        <v>139</v>
      </c>
      <c r="EM4" s="25">
        <f t="shared" si="2"/>
        <v>140</v>
      </c>
      <c r="EN4" s="22">
        <f t="shared" si="2"/>
        <v>141</v>
      </c>
      <c r="EO4" s="22">
        <f t="shared" si="2"/>
        <v>142</v>
      </c>
      <c r="EP4" s="22">
        <f t="shared" si="2"/>
        <v>143</v>
      </c>
      <c r="EQ4" s="22">
        <f t="shared" si="2"/>
        <v>144</v>
      </c>
      <c r="ER4" s="22">
        <f t="shared" si="2"/>
        <v>145</v>
      </c>
      <c r="ES4" s="22">
        <f t="shared" si="2"/>
        <v>146</v>
      </c>
      <c r="ET4" s="22">
        <f t="shared" si="2"/>
        <v>147</v>
      </c>
      <c r="EU4" s="26">
        <f t="shared" si="2"/>
        <v>148</v>
      </c>
      <c r="EV4" s="22">
        <f t="shared" si="2"/>
        <v>149</v>
      </c>
      <c r="EW4" s="22">
        <f t="shared" si="2"/>
        <v>150</v>
      </c>
      <c r="EX4" s="22">
        <f t="shared" si="2"/>
        <v>151</v>
      </c>
      <c r="EY4" s="22">
        <f t="shared" si="2"/>
        <v>152</v>
      </c>
      <c r="EZ4" s="22">
        <f t="shared" si="2"/>
        <v>153</v>
      </c>
      <c r="FA4" s="22">
        <f t="shared" si="2"/>
        <v>154</v>
      </c>
      <c r="FB4" s="22">
        <f t="shared" si="2"/>
        <v>155</v>
      </c>
      <c r="FC4" s="22">
        <f t="shared" si="2"/>
        <v>156</v>
      </c>
      <c r="FD4" s="25">
        <f t="shared" si="2"/>
        <v>157</v>
      </c>
      <c r="FE4" s="22">
        <f t="shared" si="2"/>
        <v>158</v>
      </c>
      <c r="FF4" s="22">
        <f t="shared" si="2"/>
        <v>159</v>
      </c>
      <c r="FG4" s="22">
        <f t="shared" si="2"/>
        <v>160</v>
      </c>
      <c r="FH4" s="22">
        <f t="shared" si="2"/>
        <v>161</v>
      </c>
      <c r="FI4" s="22">
        <f t="shared" si="2"/>
        <v>162</v>
      </c>
      <c r="FJ4" s="22">
        <f t="shared" si="2"/>
        <v>163</v>
      </c>
      <c r="FK4" s="22">
        <f t="shared" si="2"/>
        <v>164</v>
      </c>
      <c r="FL4" s="26">
        <f t="shared" si="2"/>
        <v>165</v>
      </c>
      <c r="FM4" s="22">
        <f t="shared" si="2"/>
        <v>166</v>
      </c>
      <c r="FN4" s="22">
        <f t="shared" si="2"/>
        <v>167</v>
      </c>
      <c r="FO4" s="22">
        <f t="shared" si="2"/>
        <v>168</v>
      </c>
      <c r="FP4" s="22">
        <f t="shared" si="2"/>
        <v>169</v>
      </c>
      <c r="FQ4" s="22">
        <f t="shared" si="2"/>
        <v>170</v>
      </c>
      <c r="FR4" s="22">
        <f t="shared" si="2"/>
        <v>171</v>
      </c>
      <c r="FS4" s="22">
        <f t="shared" si="2"/>
        <v>172</v>
      </c>
      <c r="FT4" s="22">
        <f t="shared" si="2"/>
        <v>173</v>
      </c>
      <c r="FU4" s="25">
        <f t="shared" si="2"/>
        <v>174</v>
      </c>
      <c r="FV4" s="22">
        <f t="shared" si="2"/>
        <v>175</v>
      </c>
      <c r="FW4" s="22">
        <f t="shared" si="2"/>
        <v>176</v>
      </c>
      <c r="FX4" s="22">
        <f t="shared" si="2"/>
        <v>177</v>
      </c>
      <c r="FY4" s="22">
        <f t="shared" si="2"/>
        <v>178</v>
      </c>
      <c r="FZ4" s="22">
        <f t="shared" si="2"/>
        <v>179</v>
      </c>
      <c r="GA4" s="22">
        <f t="shared" si="2"/>
        <v>180</v>
      </c>
      <c r="GB4" s="22">
        <f t="shared" si="2"/>
        <v>181</v>
      </c>
      <c r="GC4" s="26">
        <f t="shared" si="2"/>
        <v>182</v>
      </c>
      <c r="GD4" s="22">
        <f t="shared" si="2"/>
        <v>183</v>
      </c>
      <c r="GE4" s="22">
        <f t="shared" si="2"/>
        <v>184</v>
      </c>
      <c r="GF4" s="22">
        <f t="shared" si="2"/>
        <v>185</v>
      </c>
      <c r="GG4" s="22">
        <f t="shared" si="2"/>
        <v>186</v>
      </c>
      <c r="GH4" s="22">
        <f t="shared" si="2"/>
        <v>187</v>
      </c>
      <c r="GI4" s="22">
        <f t="shared" si="2"/>
        <v>188</v>
      </c>
      <c r="GJ4" s="22">
        <f t="shared" si="2"/>
        <v>189</v>
      </c>
      <c r="GK4" s="22">
        <f t="shared" si="2"/>
        <v>190</v>
      </c>
      <c r="GL4" s="25">
        <f t="shared" si="2"/>
        <v>191</v>
      </c>
      <c r="GM4" s="22">
        <f t="shared" si="2"/>
        <v>192</v>
      </c>
      <c r="GN4" s="22">
        <f t="shared" si="2"/>
        <v>193</v>
      </c>
      <c r="GO4" s="22">
        <f t="shared" si="2"/>
        <v>194</v>
      </c>
      <c r="GP4" s="22">
        <f t="shared" si="2"/>
        <v>195</v>
      </c>
      <c r="GQ4" s="22">
        <f t="shared" si="2"/>
        <v>196</v>
      </c>
      <c r="GR4" s="22">
        <f t="shared" si="2"/>
        <v>197</v>
      </c>
      <c r="GS4" s="22">
        <f t="shared" si="2"/>
        <v>198</v>
      </c>
      <c r="GT4" s="26">
        <f t="shared" si="2"/>
        <v>199</v>
      </c>
      <c r="GU4" s="22">
        <f t="shared" si="2"/>
        <v>200</v>
      </c>
      <c r="GV4" s="22">
        <f t="shared" si="2"/>
        <v>201</v>
      </c>
      <c r="GW4" s="22">
        <f t="shared" si="2"/>
        <v>202</v>
      </c>
      <c r="GX4" s="22">
        <f t="shared" si="2"/>
        <v>203</v>
      </c>
      <c r="GY4" s="22">
        <f t="shared" si="2"/>
        <v>204</v>
      </c>
      <c r="GZ4" s="22">
        <f t="shared" si="2"/>
        <v>205</v>
      </c>
      <c r="HA4" s="22">
        <f t="shared" si="2"/>
        <v>206</v>
      </c>
      <c r="HB4" s="22">
        <f t="shared" si="2"/>
        <v>207</v>
      </c>
      <c r="HC4" s="22">
        <f t="shared" si="2"/>
        <v>208</v>
      </c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</row>
    <row r="5" spans="1:222" ht="22.5" customHeight="1">
      <c r="A5" s="13"/>
      <c r="B5" s="1476" t="s">
        <v>17</v>
      </c>
      <c r="C5" s="1477"/>
      <c r="D5" s="1478"/>
      <c r="E5" s="27" t="s">
        <v>18</v>
      </c>
      <c r="F5" s="28"/>
      <c r="G5" s="1479" t="s">
        <v>19</v>
      </c>
      <c r="H5" s="1471"/>
      <c r="I5" s="1471"/>
      <c r="J5" s="1471"/>
      <c r="K5" s="1471"/>
      <c r="L5" s="1471"/>
      <c r="M5" s="1471"/>
      <c r="N5" s="1471"/>
      <c r="O5" s="1471"/>
      <c r="P5" s="1471"/>
      <c r="Q5" s="1471"/>
      <c r="R5" s="1471"/>
      <c r="S5" s="1471"/>
      <c r="T5" s="1471"/>
      <c r="U5" s="1471"/>
      <c r="V5" s="1471"/>
      <c r="W5" s="1472"/>
      <c r="X5" s="1470" t="str">
        <f>G5</f>
        <v xml:space="preserve">S E R V I Ç O S     =    CUIDADOR - INSTRUTOR - PSICOPEDAGOGO - MONITOR </v>
      </c>
      <c r="Y5" s="1471"/>
      <c r="Z5" s="1471"/>
      <c r="AA5" s="1471"/>
      <c r="AB5" s="1471"/>
      <c r="AC5" s="1471"/>
      <c r="AD5" s="1471"/>
      <c r="AE5" s="1471"/>
      <c r="AF5" s="1471"/>
      <c r="AG5" s="1471"/>
      <c r="AH5" s="1471"/>
      <c r="AI5" s="1471"/>
      <c r="AJ5" s="1471"/>
      <c r="AK5" s="1471"/>
      <c r="AL5" s="1471"/>
      <c r="AM5" s="1471"/>
      <c r="AN5" s="1472"/>
      <c r="AO5" s="1470" t="str">
        <f>X5</f>
        <v xml:space="preserve">S E R V I Ç O S     =    CUIDADOR - INSTRUTOR - PSICOPEDAGOGO - MONITOR </v>
      </c>
      <c r="AP5" s="1471"/>
      <c r="AQ5" s="1471"/>
      <c r="AR5" s="1471"/>
      <c r="AS5" s="1471"/>
      <c r="AT5" s="1471"/>
      <c r="AU5" s="1471"/>
      <c r="AV5" s="1471"/>
      <c r="AW5" s="1471"/>
      <c r="AX5" s="1471"/>
      <c r="AY5" s="1471"/>
      <c r="AZ5" s="1471"/>
      <c r="BA5" s="1471"/>
      <c r="BB5" s="1471"/>
      <c r="BC5" s="1471"/>
      <c r="BD5" s="1471"/>
      <c r="BE5" s="1472"/>
      <c r="BF5" s="1480" t="str">
        <f>AO5</f>
        <v xml:space="preserve">S E R V I Ç O S     =    CUIDADOR - INSTRUTOR - PSICOPEDAGOGO - MONITOR </v>
      </c>
      <c r="BG5" s="1481"/>
      <c r="BH5" s="1481"/>
      <c r="BI5" s="1481"/>
      <c r="BJ5" s="1481"/>
      <c r="BK5" s="1481"/>
      <c r="BL5" s="1481"/>
      <c r="BM5" s="1481"/>
      <c r="BN5" s="1481"/>
      <c r="BO5" s="1481"/>
      <c r="BP5" s="1481"/>
      <c r="BQ5" s="1481"/>
      <c r="BR5" s="1481"/>
      <c r="BS5" s="1481"/>
      <c r="BT5" s="1481"/>
      <c r="BU5" s="1481"/>
      <c r="BV5" s="1482"/>
      <c r="BW5" s="1470" t="str">
        <f>AO5</f>
        <v xml:space="preserve">S E R V I Ç O S     =    CUIDADOR - INSTRUTOR - PSICOPEDAGOGO - MONITOR </v>
      </c>
      <c r="BX5" s="1471"/>
      <c r="BY5" s="1471"/>
      <c r="BZ5" s="1471"/>
      <c r="CA5" s="1471"/>
      <c r="CB5" s="1471"/>
      <c r="CC5" s="1471"/>
      <c r="CD5" s="1471"/>
      <c r="CE5" s="1471"/>
      <c r="CF5" s="1471"/>
      <c r="CG5" s="1471"/>
      <c r="CH5" s="1471"/>
      <c r="CI5" s="1471"/>
      <c r="CJ5" s="1471"/>
      <c r="CK5" s="1471"/>
      <c r="CL5" s="1471"/>
      <c r="CM5" s="1472"/>
      <c r="CN5" s="1470" t="str">
        <f>AO5</f>
        <v xml:space="preserve">S E R V I Ç O S     =    CUIDADOR - INSTRUTOR - PSICOPEDAGOGO - MONITOR </v>
      </c>
      <c r="CO5" s="1471"/>
      <c r="CP5" s="1471"/>
      <c r="CQ5" s="1471"/>
      <c r="CR5" s="1471"/>
      <c r="CS5" s="1471"/>
      <c r="CT5" s="1471"/>
      <c r="CU5" s="1471"/>
      <c r="CV5" s="1471"/>
      <c r="CW5" s="1471"/>
      <c r="CX5" s="1471"/>
      <c r="CY5" s="1471"/>
      <c r="CZ5" s="1471"/>
      <c r="DA5" s="1471"/>
      <c r="DB5" s="1471"/>
      <c r="DC5" s="1471"/>
      <c r="DD5" s="1472"/>
      <c r="DE5" s="1470" t="str">
        <f>AO5</f>
        <v xml:space="preserve">S E R V I Ç O S     =    CUIDADOR - INSTRUTOR - PSICOPEDAGOGO - MONITOR </v>
      </c>
      <c r="DF5" s="1471"/>
      <c r="DG5" s="1471"/>
      <c r="DH5" s="1471"/>
      <c r="DI5" s="1471"/>
      <c r="DJ5" s="1471"/>
      <c r="DK5" s="1471"/>
      <c r="DL5" s="1471"/>
      <c r="DM5" s="1471"/>
      <c r="DN5" s="1471"/>
      <c r="DO5" s="1471"/>
      <c r="DP5" s="1471"/>
      <c r="DQ5" s="1471"/>
      <c r="DR5" s="1471"/>
      <c r="DS5" s="1471"/>
      <c r="DT5" s="1471"/>
      <c r="DU5" s="1472"/>
      <c r="DV5" s="1470" t="str">
        <f>AO5</f>
        <v xml:space="preserve">S E R V I Ç O S     =    CUIDADOR - INSTRUTOR - PSICOPEDAGOGO - MONITOR </v>
      </c>
      <c r="DW5" s="1471"/>
      <c r="DX5" s="1471"/>
      <c r="DY5" s="1471"/>
      <c r="DZ5" s="1471"/>
      <c r="EA5" s="1471"/>
      <c r="EB5" s="1471"/>
      <c r="EC5" s="1471"/>
      <c r="ED5" s="1471"/>
      <c r="EE5" s="1471"/>
      <c r="EF5" s="1471"/>
      <c r="EG5" s="1471"/>
      <c r="EH5" s="1471"/>
      <c r="EI5" s="1471"/>
      <c r="EJ5" s="1471"/>
      <c r="EK5" s="1471"/>
      <c r="EL5" s="1472"/>
      <c r="EM5" s="1473" t="str">
        <f>AO5</f>
        <v xml:space="preserve">S E R V I Ç O S     =    CUIDADOR - INSTRUTOR - PSICOPEDAGOGO - MONITOR </v>
      </c>
      <c r="EN5" s="1471"/>
      <c r="EO5" s="1471"/>
      <c r="EP5" s="1471"/>
      <c r="EQ5" s="1471"/>
      <c r="ER5" s="1471"/>
      <c r="ES5" s="1471"/>
      <c r="ET5" s="1471"/>
      <c r="EU5" s="1471"/>
      <c r="EV5" s="1471"/>
      <c r="EW5" s="1471"/>
      <c r="EX5" s="1471"/>
      <c r="EY5" s="1471"/>
      <c r="EZ5" s="1471"/>
      <c r="FA5" s="1471"/>
      <c r="FB5" s="1471"/>
      <c r="FC5" s="1472"/>
      <c r="FD5" s="1473" t="str">
        <f>AO5</f>
        <v xml:space="preserve">S E R V I Ç O S     =    CUIDADOR - INSTRUTOR - PSICOPEDAGOGO - MONITOR </v>
      </c>
      <c r="FE5" s="1471"/>
      <c r="FF5" s="1471"/>
      <c r="FG5" s="1471"/>
      <c r="FH5" s="1471"/>
      <c r="FI5" s="1471"/>
      <c r="FJ5" s="1471"/>
      <c r="FK5" s="1471"/>
      <c r="FL5" s="1471"/>
      <c r="FM5" s="1471"/>
      <c r="FN5" s="1471"/>
      <c r="FO5" s="1471"/>
      <c r="FP5" s="1471"/>
      <c r="FQ5" s="1471"/>
      <c r="FR5" s="1471"/>
      <c r="FS5" s="1471"/>
      <c r="FT5" s="1472"/>
      <c r="FU5" s="1473" t="str">
        <f>AO5</f>
        <v xml:space="preserve">S E R V I Ç O S     =    CUIDADOR - INSTRUTOR - PSICOPEDAGOGO - MONITOR </v>
      </c>
      <c r="FV5" s="1471"/>
      <c r="FW5" s="1471"/>
      <c r="FX5" s="1471"/>
      <c r="FY5" s="1471"/>
      <c r="FZ5" s="1471"/>
      <c r="GA5" s="1471"/>
      <c r="GB5" s="1471"/>
      <c r="GC5" s="1471"/>
      <c r="GD5" s="1471"/>
      <c r="GE5" s="1471"/>
      <c r="GF5" s="1471"/>
      <c r="GG5" s="1471"/>
      <c r="GH5" s="1471"/>
      <c r="GI5" s="1471"/>
      <c r="GJ5" s="1471"/>
      <c r="GK5" s="1472"/>
      <c r="GL5" s="1473" t="str">
        <f>AO5</f>
        <v xml:space="preserve">S E R V I Ç O S     =    CUIDADOR - INSTRUTOR - PSICOPEDAGOGO - MONITOR </v>
      </c>
      <c r="GM5" s="1471"/>
      <c r="GN5" s="1471"/>
      <c r="GO5" s="1471"/>
      <c r="GP5" s="1471"/>
      <c r="GQ5" s="1471"/>
      <c r="GR5" s="1471"/>
      <c r="GS5" s="1471"/>
      <c r="GT5" s="1471"/>
      <c r="GU5" s="1471"/>
      <c r="GV5" s="1471"/>
      <c r="GW5" s="1471"/>
      <c r="GX5" s="1471"/>
      <c r="GY5" s="1471"/>
      <c r="GZ5" s="1471"/>
      <c r="HA5" s="1471"/>
      <c r="HB5" s="1472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</row>
    <row r="6" spans="1:222" ht="33.75" customHeight="1">
      <c r="A6" s="30"/>
      <c r="B6" s="1508" t="s">
        <v>20</v>
      </c>
      <c r="C6" s="1508" t="s">
        <v>21</v>
      </c>
      <c r="D6" s="1508" t="s">
        <v>22</v>
      </c>
      <c r="E6" s="1511" t="s">
        <v>23</v>
      </c>
      <c r="F6" s="1512" t="s">
        <v>24</v>
      </c>
      <c r="G6" s="1513" t="s">
        <v>3</v>
      </c>
      <c r="H6" s="1468"/>
      <c r="I6" s="1468"/>
      <c r="J6" s="1468"/>
      <c r="K6" s="1468"/>
      <c r="L6" s="1468"/>
      <c r="M6" s="1468"/>
      <c r="N6" s="1468"/>
      <c r="O6" s="1468"/>
      <c r="P6" s="1468"/>
      <c r="Q6" s="1468"/>
      <c r="R6" s="1468"/>
      <c r="S6" s="1468"/>
      <c r="T6" s="1468"/>
      <c r="U6" s="1468"/>
      <c r="V6" s="1468"/>
      <c r="W6" s="1469"/>
      <c r="X6" s="1514" t="s">
        <v>4</v>
      </c>
      <c r="Y6" s="1468"/>
      <c r="Z6" s="1468"/>
      <c r="AA6" s="1468"/>
      <c r="AB6" s="1468"/>
      <c r="AC6" s="1468"/>
      <c r="AD6" s="1468"/>
      <c r="AE6" s="1468"/>
      <c r="AF6" s="1468"/>
      <c r="AG6" s="1468"/>
      <c r="AH6" s="1468"/>
      <c r="AI6" s="1468"/>
      <c r="AJ6" s="1468"/>
      <c r="AK6" s="1468"/>
      <c r="AL6" s="1468"/>
      <c r="AM6" s="1468"/>
      <c r="AN6" s="1469"/>
      <c r="AO6" s="1483" t="s">
        <v>5</v>
      </c>
      <c r="AP6" s="1468"/>
      <c r="AQ6" s="1468"/>
      <c r="AR6" s="1468"/>
      <c r="AS6" s="1468"/>
      <c r="AT6" s="1468"/>
      <c r="AU6" s="1468"/>
      <c r="AV6" s="1468"/>
      <c r="AW6" s="1468"/>
      <c r="AX6" s="1468"/>
      <c r="AY6" s="1468"/>
      <c r="AZ6" s="1468"/>
      <c r="BA6" s="1468"/>
      <c r="BB6" s="1468"/>
      <c r="BC6" s="1468"/>
      <c r="BD6" s="1468"/>
      <c r="BE6" s="1469"/>
      <c r="BF6" s="1484" t="s">
        <v>6</v>
      </c>
      <c r="BG6" s="1468"/>
      <c r="BH6" s="1468"/>
      <c r="BI6" s="1468"/>
      <c r="BJ6" s="1468"/>
      <c r="BK6" s="1468"/>
      <c r="BL6" s="1468"/>
      <c r="BM6" s="1468"/>
      <c r="BN6" s="1468"/>
      <c r="BO6" s="1468"/>
      <c r="BP6" s="1468"/>
      <c r="BQ6" s="1468"/>
      <c r="BR6" s="1468"/>
      <c r="BS6" s="1468"/>
      <c r="BT6" s="1468"/>
      <c r="BU6" s="1468"/>
      <c r="BV6" s="1469"/>
      <c r="BW6" s="1483" t="s">
        <v>7</v>
      </c>
      <c r="BX6" s="1468"/>
      <c r="BY6" s="1468"/>
      <c r="BZ6" s="1468"/>
      <c r="CA6" s="1468"/>
      <c r="CB6" s="1468"/>
      <c r="CC6" s="1468"/>
      <c r="CD6" s="1468"/>
      <c r="CE6" s="1468"/>
      <c r="CF6" s="1468"/>
      <c r="CG6" s="1468"/>
      <c r="CH6" s="1468"/>
      <c r="CI6" s="1468"/>
      <c r="CJ6" s="1468"/>
      <c r="CK6" s="1468"/>
      <c r="CL6" s="1468"/>
      <c r="CM6" s="1469"/>
      <c r="CN6" s="1485" t="s">
        <v>8</v>
      </c>
      <c r="CO6" s="1468"/>
      <c r="CP6" s="1468"/>
      <c r="CQ6" s="1468"/>
      <c r="CR6" s="1468"/>
      <c r="CS6" s="1468"/>
      <c r="CT6" s="1468"/>
      <c r="CU6" s="1468"/>
      <c r="CV6" s="1468"/>
      <c r="CW6" s="1468"/>
      <c r="CX6" s="1468"/>
      <c r="CY6" s="1468"/>
      <c r="CZ6" s="1468"/>
      <c r="DA6" s="1468"/>
      <c r="DB6" s="1468"/>
      <c r="DC6" s="1468"/>
      <c r="DD6" s="1469"/>
      <c r="DE6" s="1483" t="s">
        <v>9</v>
      </c>
      <c r="DF6" s="1468"/>
      <c r="DG6" s="1468"/>
      <c r="DH6" s="1468"/>
      <c r="DI6" s="1468"/>
      <c r="DJ6" s="1468"/>
      <c r="DK6" s="1468"/>
      <c r="DL6" s="1468"/>
      <c r="DM6" s="1468"/>
      <c r="DN6" s="1468"/>
      <c r="DO6" s="1468"/>
      <c r="DP6" s="1468"/>
      <c r="DQ6" s="1468"/>
      <c r="DR6" s="1468"/>
      <c r="DS6" s="1468"/>
      <c r="DT6" s="1468"/>
      <c r="DU6" s="1469"/>
      <c r="DV6" s="1467" t="s">
        <v>25</v>
      </c>
      <c r="DW6" s="1468"/>
      <c r="DX6" s="1468"/>
      <c r="DY6" s="1468"/>
      <c r="DZ6" s="1468"/>
      <c r="EA6" s="1468"/>
      <c r="EB6" s="1468"/>
      <c r="EC6" s="1468"/>
      <c r="ED6" s="1468"/>
      <c r="EE6" s="1468"/>
      <c r="EF6" s="1468"/>
      <c r="EG6" s="1468"/>
      <c r="EH6" s="1468"/>
      <c r="EI6" s="1468"/>
      <c r="EJ6" s="1468"/>
      <c r="EK6" s="1468"/>
      <c r="EL6" s="1469"/>
      <c r="EM6" s="1467" t="s">
        <v>26</v>
      </c>
      <c r="EN6" s="1468"/>
      <c r="EO6" s="1468"/>
      <c r="EP6" s="1468"/>
      <c r="EQ6" s="1468"/>
      <c r="ER6" s="1468"/>
      <c r="ES6" s="1468"/>
      <c r="ET6" s="1468"/>
      <c r="EU6" s="1468"/>
      <c r="EV6" s="1468"/>
      <c r="EW6" s="1468"/>
      <c r="EX6" s="1468"/>
      <c r="EY6" s="1468"/>
      <c r="EZ6" s="1468"/>
      <c r="FA6" s="1468"/>
      <c r="FB6" s="1468"/>
      <c r="FC6" s="1469"/>
      <c r="FD6" s="1467" t="s">
        <v>27</v>
      </c>
      <c r="FE6" s="1468"/>
      <c r="FF6" s="1468"/>
      <c r="FG6" s="1468"/>
      <c r="FH6" s="1468"/>
      <c r="FI6" s="1468"/>
      <c r="FJ6" s="1468"/>
      <c r="FK6" s="1468"/>
      <c r="FL6" s="1468"/>
      <c r="FM6" s="1468"/>
      <c r="FN6" s="1468"/>
      <c r="FO6" s="1468"/>
      <c r="FP6" s="1468"/>
      <c r="FQ6" s="1468"/>
      <c r="FR6" s="1468"/>
      <c r="FS6" s="1468"/>
      <c r="FT6" s="1469"/>
      <c r="FU6" s="1467" t="s">
        <v>28</v>
      </c>
      <c r="FV6" s="1468"/>
      <c r="FW6" s="1468"/>
      <c r="FX6" s="1468"/>
      <c r="FY6" s="1468"/>
      <c r="FZ6" s="1468"/>
      <c r="GA6" s="1468"/>
      <c r="GB6" s="1468"/>
      <c r="GC6" s="1468"/>
      <c r="GD6" s="1468"/>
      <c r="GE6" s="1468"/>
      <c r="GF6" s="1468"/>
      <c r="GG6" s="1468"/>
      <c r="GH6" s="1468"/>
      <c r="GI6" s="1468"/>
      <c r="GJ6" s="1468"/>
      <c r="GK6" s="1469"/>
      <c r="GL6" s="1467" t="s">
        <v>29</v>
      </c>
      <c r="GM6" s="1468"/>
      <c r="GN6" s="1468"/>
      <c r="GO6" s="1468"/>
      <c r="GP6" s="1468"/>
      <c r="GQ6" s="1468"/>
      <c r="GR6" s="1468"/>
      <c r="GS6" s="1468"/>
      <c r="GT6" s="1468"/>
      <c r="GU6" s="1468"/>
      <c r="GV6" s="1468"/>
      <c r="GW6" s="1468"/>
      <c r="GX6" s="1468"/>
      <c r="GY6" s="1468"/>
      <c r="GZ6" s="1468"/>
      <c r="HA6" s="1468"/>
      <c r="HB6" s="1469"/>
      <c r="HC6" s="31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</row>
    <row r="7" spans="1:222" ht="97.5" customHeight="1">
      <c r="A7" s="13"/>
      <c r="B7" s="1509"/>
      <c r="C7" s="1509"/>
      <c r="D7" s="1509"/>
      <c r="E7" s="1509"/>
      <c r="F7" s="1509"/>
      <c r="G7" s="1450" t="s">
        <v>30</v>
      </c>
      <c r="H7" s="33" t="s">
        <v>31</v>
      </c>
      <c r="I7" s="1453" t="s">
        <v>32</v>
      </c>
      <c r="J7" s="1454" t="s">
        <v>33</v>
      </c>
      <c r="K7" s="1455" t="s">
        <v>34</v>
      </c>
      <c r="L7" s="1456"/>
      <c r="M7" s="1457"/>
      <c r="N7" s="1455"/>
      <c r="O7" s="1456"/>
      <c r="P7" s="1457"/>
      <c r="Q7" s="1426" t="s">
        <v>35</v>
      </c>
      <c r="R7" s="1426" t="s">
        <v>36</v>
      </c>
      <c r="S7" s="34" t="s">
        <v>37</v>
      </c>
      <c r="T7" s="34" t="s">
        <v>38</v>
      </c>
      <c r="U7" s="35" t="s">
        <v>39</v>
      </c>
      <c r="V7" s="1429" t="s">
        <v>40</v>
      </c>
      <c r="W7" s="1430" t="s">
        <v>41</v>
      </c>
      <c r="X7" s="1431" t="s">
        <v>30</v>
      </c>
      <c r="Y7" s="36" t="s">
        <v>31</v>
      </c>
      <c r="Z7" s="1434" t="s">
        <v>32</v>
      </c>
      <c r="AA7" s="1437" t="s">
        <v>33</v>
      </c>
      <c r="AB7" s="1440"/>
      <c r="AC7" s="1441"/>
      <c r="AD7" s="1442"/>
      <c r="AE7" s="1440" t="s">
        <v>42</v>
      </c>
      <c r="AF7" s="1441"/>
      <c r="AG7" s="1442"/>
      <c r="AH7" s="1443" t="s">
        <v>35</v>
      </c>
      <c r="AI7" s="1444" t="s">
        <v>36</v>
      </c>
      <c r="AJ7" s="37" t="s">
        <v>37</v>
      </c>
      <c r="AK7" s="37" t="s">
        <v>38</v>
      </c>
      <c r="AL7" s="38" t="s">
        <v>39</v>
      </c>
      <c r="AM7" s="1443" t="s">
        <v>40</v>
      </c>
      <c r="AN7" s="1446" t="s">
        <v>41</v>
      </c>
      <c r="AO7" s="1488" t="s">
        <v>30</v>
      </c>
      <c r="AP7" s="39" t="s">
        <v>31</v>
      </c>
      <c r="AQ7" s="1489" t="s">
        <v>32</v>
      </c>
      <c r="AR7" s="1490" t="s">
        <v>33</v>
      </c>
      <c r="AS7" s="1491" t="s">
        <v>34</v>
      </c>
      <c r="AT7" s="1441"/>
      <c r="AU7" s="1442"/>
      <c r="AV7" s="1491"/>
      <c r="AW7" s="1441"/>
      <c r="AX7" s="1442"/>
      <c r="AY7" s="1461" t="s">
        <v>35</v>
      </c>
      <c r="AZ7" s="1490" t="s">
        <v>36</v>
      </c>
      <c r="BA7" s="40" t="s">
        <v>37</v>
      </c>
      <c r="BB7" s="40" t="s">
        <v>38</v>
      </c>
      <c r="BC7" s="39" t="s">
        <v>39</v>
      </c>
      <c r="BD7" s="1461" t="s">
        <v>40</v>
      </c>
      <c r="BE7" s="1430" t="s">
        <v>41</v>
      </c>
      <c r="BF7" s="1492" t="s">
        <v>30</v>
      </c>
      <c r="BG7" s="41" t="s">
        <v>31</v>
      </c>
      <c r="BH7" s="1493" t="s">
        <v>32</v>
      </c>
      <c r="BI7" s="1494" t="s">
        <v>33</v>
      </c>
      <c r="BJ7" s="1496" t="s">
        <v>34</v>
      </c>
      <c r="BK7" s="1441"/>
      <c r="BL7" s="1442"/>
      <c r="BM7" s="1496"/>
      <c r="BN7" s="1441"/>
      <c r="BO7" s="1442"/>
      <c r="BP7" s="1497" t="s">
        <v>43</v>
      </c>
      <c r="BQ7" s="1494" t="s">
        <v>44</v>
      </c>
      <c r="BR7" s="42" t="s">
        <v>37</v>
      </c>
      <c r="BS7" s="42" t="s">
        <v>38</v>
      </c>
      <c r="BT7" s="41" t="s">
        <v>39</v>
      </c>
      <c r="BU7" s="42" t="s">
        <v>38</v>
      </c>
      <c r="BV7" s="1497" t="s">
        <v>41</v>
      </c>
      <c r="BW7" s="1488" t="s">
        <v>30</v>
      </c>
      <c r="BX7" s="39" t="s">
        <v>31</v>
      </c>
      <c r="BY7" s="1489" t="s">
        <v>32</v>
      </c>
      <c r="BZ7" s="1490" t="s">
        <v>33</v>
      </c>
      <c r="CA7" s="1491" t="s">
        <v>34</v>
      </c>
      <c r="CB7" s="1441"/>
      <c r="CC7" s="1442"/>
      <c r="CD7" s="1491"/>
      <c r="CE7" s="1441"/>
      <c r="CF7" s="1442"/>
      <c r="CG7" s="1461" t="s">
        <v>43</v>
      </c>
      <c r="CH7" s="1490" t="s">
        <v>44</v>
      </c>
      <c r="CI7" s="40" t="s">
        <v>37</v>
      </c>
      <c r="CJ7" s="40" t="s">
        <v>38</v>
      </c>
      <c r="CK7" s="39" t="s">
        <v>39</v>
      </c>
      <c r="CL7" s="40" t="s">
        <v>45</v>
      </c>
      <c r="CM7" s="1461" t="s">
        <v>41</v>
      </c>
      <c r="CN7" s="1495" t="s">
        <v>30</v>
      </c>
      <c r="CO7" s="43" t="s">
        <v>31</v>
      </c>
      <c r="CP7" s="1501" t="s">
        <v>32</v>
      </c>
      <c r="CQ7" s="1502" t="s">
        <v>33</v>
      </c>
      <c r="CR7" s="1503" t="s">
        <v>34</v>
      </c>
      <c r="CS7" s="1441"/>
      <c r="CT7" s="1442"/>
      <c r="CU7" s="1503"/>
      <c r="CV7" s="1441"/>
      <c r="CW7" s="1442"/>
      <c r="CX7" s="1504" t="s">
        <v>43</v>
      </c>
      <c r="CY7" s="1502" t="s">
        <v>44</v>
      </c>
      <c r="CZ7" s="44" t="s">
        <v>37</v>
      </c>
      <c r="DA7" s="44" t="s">
        <v>38</v>
      </c>
      <c r="DB7" s="43" t="s">
        <v>39</v>
      </c>
      <c r="DC7" s="44" t="s">
        <v>45</v>
      </c>
      <c r="DD7" s="1504" t="s">
        <v>41</v>
      </c>
      <c r="DE7" s="1488" t="s">
        <v>30</v>
      </c>
      <c r="DF7" s="39" t="s">
        <v>31</v>
      </c>
      <c r="DG7" s="1489" t="s">
        <v>32</v>
      </c>
      <c r="DH7" s="1490" t="s">
        <v>33</v>
      </c>
      <c r="DI7" s="1491"/>
      <c r="DJ7" s="1441"/>
      <c r="DK7" s="1442"/>
      <c r="DL7" s="1491" t="s">
        <v>42</v>
      </c>
      <c r="DM7" s="1441"/>
      <c r="DN7" s="1442"/>
      <c r="DO7" s="1461" t="s">
        <v>43</v>
      </c>
      <c r="DP7" s="1490" t="s">
        <v>44</v>
      </c>
      <c r="DQ7" s="40" t="s">
        <v>37</v>
      </c>
      <c r="DR7" s="40" t="s">
        <v>38</v>
      </c>
      <c r="DS7" s="39" t="s">
        <v>39</v>
      </c>
      <c r="DT7" s="40" t="s">
        <v>45</v>
      </c>
      <c r="DU7" s="1461" t="s">
        <v>41</v>
      </c>
      <c r="DV7" s="1462" t="s">
        <v>30</v>
      </c>
      <c r="DW7" s="45" t="s">
        <v>31</v>
      </c>
      <c r="DX7" s="1463" t="s">
        <v>32</v>
      </c>
      <c r="DY7" s="1464" t="s">
        <v>33</v>
      </c>
      <c r="DZ7" s="1465" t="s">
        <v>34</v>
      </c>
      <c r="EA7" s="1441"/>
      <c r="EB7" s="1442"/>
      <c r="EC7" s="1465"/>
      <c r="ED7" s="1441"/>
      <c r="EE7" s="1442"/>
      <c r="EF7" s="1466" t="s">
        <v>43</v>
      </c>
      <c r="EG7" s="1464" t="s">
        <v>44</v>
      </c>
      <c r="EH7" s="47" t="s">
        <v>37</v>
      </c>
      <c r="EI7" s="47" t="s">
        <v>38</v>
      </c>
      <c r="EJ7" s="45" t="s">
        <v>39</v>
      </c>
      <c r="EK7" s="47" t="s">
        <v>45</v>
      </c>
      <c r="EL7" s="1466" t="s">
        <v>41</v>
      </c>
      <c r="EM7" s="1462" t="s">
        <v>30</v>
      </c>
      <c r="EN7" s="45" t="s">
        <v>31</v>
      </c>
      <c r="EO7" s="1463" t="s">
        <v>32</v>
      </c>
      <c r="EP7" s="1464" t="s">
        <v>33</v>
      </c>
      <c r="EQ7" s="1465" t="s">
        <v>34</v>
      </c>
      <c r="ER7" s="1441"/>
      <c r="ES7" s="1442"/>
      <c r="ET7" s="1465"/>
      <c r="EU7" s="1441"/>
      <c r="EV7" s="1442"/>
      <c r="EW7" s="1466" t="s">
        <v>43</v>
      </c>
      <c r="EX7" s="1464" t="s">
        <v>44</v>
      </c>
      <c r="EY7" s="47" t="s">
        <v>37</v>
      </c>
      <c r="EZ7" s="47" t="s">
        <v>38</v>
      </c>
      <c r="FA7" s="45" t="s">
        <v>39</v>
      </c>
      <c r="FB7" s="47" t="s">
        <v>45</v>
      </c>
      <c r="FC7" s="1466" t="s">
        <v>41</v>
      </c>
      <c r="FD7" s="1462" t="s">
        <v>30</v>
      </c>
      <c r="FE7" s="45" t="s">
        <v>31</v>
      </c>
      <c r="FF7" s="1463" t="s">
        <v>32</v>
      </c>
      <c r="FG7" s="1464" t="s">
        <v>33</v>
      </c>
      <c r="FH7" s="1465" t="s">
        <v>34</v>
      </c>
      <c r="FI7" s="1441"/>
      <c r="FJ7" s="1442"/>
      <c r="FK7" s="1465"/>
      <c r="FL7" s="1441"/>
      <c r="FM7" s="1442"/>
      <c r="FN7" s="1466" t="s">
        <v>43</v>
      </c>
      <c r="FO7" s="1464" t="s">
        <v>44</v>
      </c>
      <c r="FP7" s="47" t="s">
        <v>37</v>
      </c>
      <c r="FQ7" s="47" t="s">
        <v>38</v>
      </c>
      <c r="FR7" s="45" t="s">
        <v>39</v>
      </c>
      <c r="FS7" s="47" t="s">
        <v>45</v>
      </c>
      <c r="FT7" s="1466" t="s">
        <v>45</v>
      </c>
      <c r="FU7" s="1462" t="s">
        <v>30</v>
      </c>
      <c r="FV7" s="45" t="s">
        <v>31</v>
      </c>
      <c r="FW7" s="1463" t="s">
        <v>32</v>
      </c>
      <c r="FX7" s="1464" t="s">
        <v>33</v>
      </c>
      <c r="FY7" s="1465" t="s">
        <v>34</v>
      </c>
      <c r="FZ7" s="1441"/>
      <c r="GA7" s="1442"/>
      <c r="GB7" s="1465"/>
      <c r="GC7" s="1441"/>
      <c r="GD7" s="1442"/>
      <c r="GE7" s="1466" t="s">
        <v>43</v>
      </c>
      <c r="GF7" s="1464" t="s">
        <v>44</v>
      </c>
      <c r="GG7" s="47" t="s">
        <v>37</v>
      </c>
      <c r="GH7" s="47" t="s">
        <v>38</v>
      </c>
      <c r="GI7" s="45" t="s">
        <v>39</v>
      </c>
      <c r="GJ7" s="47" t="s">
        <v>45</v>
      </c>
      <c r="GK7" s="1466" t="s">
        <v>45</v>
      </c>
      <c r="GL7" s="1462" t="s">
        <v>30</v>
      </c>
      <c r="GM7" s="45" t="s">
        <v>31</v>
      </c>
      <c r="GN7" s="1463" t="s">
        <v>32</v>
      </c>
      <c r="GO7" s="1464" t="s">
        <v>33</v>
      </c>
      <c r="GP7" s="1465" t="s">
        <v>34</v>
      </c>
      <c r="GQ7" s="1441"/>
      <c r="GR7" s="1442"/>
      <c r="GS7" s="1465"/>
      <c r="GT7" s="1441"/>
      <c r="GU7" s="1442"/>
      <c r="GV7" s="1466" t="s">
        <v>46</v>
      </c>
      <c r="GW7" s="1464" t="s">
        <v>44</v>
      </c>
      <c r="GX7" s="47" t="s">
        <v>37</v>
      </c>
      <c r="GY7" s="47" t="s">
        <v>38</v>
      </c>
      <c r="GZ7" s="45" t="s">
        <v>39</v>
      </c>
      <c r="HA7" s="47" t="s">
        <v>45</v>
      </c>
      <c r="HB7" s="46" t="s">
        <v>45</v>
      </c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</row>
    <row r="8" spans="1:222" ht="13.5" customHeight="1">
      <c r="A8" s="13"/>
      <c r="B8" s="1509"/>
      <c r="C8" s="1509"/>
      <c r="D8" s="1509"/>
      <c r="E8" s="1509"/>
      <c r="F8" s="1509"/>
      <c r="G8" s="1451"/>
      <c r="H8" s="48" t="s">
        <v>47</v>
      </c>
      <c r="I8" s="1435"/>
      <c r="J8" s="1438"/>
      <c r="K8" s="49"/>
      <c r="L8" s="1447" t="s">
        <v>48</v>
      </c>
      <c r="M8" s="1449" t="s">
        <v>49</v>
      </c>
      <c r="N8" s="50" t="s">
        <v>50</v>
      </c>
      <c r="O8" s="1447" t="s">
        <v>51</v>
      </c>
      <c r="P8" s="51" t="s">
        <v>52</v>
      </c>
      <c r="Q8" s="1427"/>
      <c r="R8" s="1427"/>
      <c r="S8" s="52"/>
      <c r="T8" s="52"/>
      <c r="U8" s="53" t="s">
        <v>47</v>
      </c>
      <c r="V8" s="1427"/>
      <c r="W8" s="1427"/>
      <c r="X8" s="1432"/>
      <c r="Y8" s="54" t="s">
        <v>47</v>
      </c>
      <c r="Z8" s="1435"/>
      <c r="AA8" s="1438"/>
      <c r="AB8" s="55"/>
      <c r="AC8" s="1458" t="s">
        <v>48</v>
      </c>
      <c r="AD8" s="1458" t="s">
        <v>49</v>
      </c>
      <c r="AE8" s="56" t="s">
        <v>50</v>
      </c>
      <c r="AF8" s="1458" t="s">
        <v>51</v>
      </c>
      <c r="AG8" s="57" t="s">
        <v>52</v>
      </c>
      <c r="AH8" s="1427"/>
      <c r="AI8" s="1427"/>
      <c r="AJ8" s="58"/>
      <c r="AK8" s="58"/>
      <c r="AL8" s="59" t="s">
        <v>47</v>
      </c>
      <c r="AM8" s="1427"/>
      <c r="AN8" s="1427"/>
      <c r="AO8" s="1432"/>
      <c r="AP8" s="60" t="s">
        <v>47</v>
      </c>
      <c r="AQ8" s="1435"/>
      <c r="AR8" s="1427"/>
      <c r="AS8" s="61"/>
      <c r="AT8" s="1459" t="s">
        <v>48</v>
      </c>
      <c r="AU8" s="1459" t="s">
        <v>49</v>
      </c>
      <c r="AV8" s="50" t="s">
        <v>50</v>
      </c>
      <c r="AW8" s="1459" t="s">
        <v>51</v>
      </c>
      <c r="AX8" s="62" t="s">
        <v>52</v>
      </c>
      <c r="AY8" s="1427"/>
      <c r="AZ8" s="1427"/>
      <c r="BA8" s="63"/>
      <c r="BB8" s="63"/>
      <c r="BC8" s="60" t="s">
        <v>47</v>
      </c>
      <c r="BD8" s="1427"/>
      <c r="BE8" s="1427"/>
      <c r="BF8" s="1432"/>
      <c r="BG8" s="64" t="s">
        <v>47</v>
      </c>
      <c r="BH8" s="1435"/>
      <c r="BI8" s="1427"/>
      <c r="BJ8" s="65"/>
      <c r="BK8" s="1487" t="s">
        <v>48</v>
      </c>
      <c r="BL8" s="1487" t="s">
        <v>49</v>
      </c>
      <c r="BM8" s="66" t="s">
        <v>50</v>
      </c>
      <c r="BN8" s="1487" t="s">
        <v>48</v>
      </c>
      <c r="BO8" s="67" t="s">
        <v>52</v>
      </c>
      <c r="BP8" s="1427"/>
      <c r="BQ8" s="1427"/>
      <c r="BR8" s="68"/>
      <c r="BS8" s="68"/>
      <c r="BT8" s="64" t="s">
        <v>47</v>
      </c>
      <c r="BU8" s="68"/>
      <c r="BV8" s="1427"/>
      <c r="BW8" s="1432"/>
      <c r="BX8" s="60" t="s">
        <v>47</v>
      </c>
      <c r="BY8" s="1435"/>
      <c r="BZ8" s="1427"/>
      <c r="CA8" s="61"/>
      <c r="CB8" s="1459" t="s">
        <v>48</v>
      </c>
      <c r="CC8" s="1459" t="s">
        <v>49</v>
      </c>
      <c r="CD8" s="50" t="s">
        <v>50</v>
      </c>
      <c r="CE8" s="1459" t="s">
        <v>48</v>
      </c>
      <c r="CF8" s="62" t="s">
        <v>52</v>
      </c>
      <c r="CG8" s="1427"/>
      <c r="CH8" s="1427"/>
      <c r="CI8" s="63"/>
      <c r="CJ8" s="63"/>
      <c r="CK8" s="60" t="s">
        <v>47</v>
      </c>
      <c r="CL8" s="63"/>
      <c r="CM8" s="1427"/>
      <c r="CN8" s="1432"/>
      <c r="CO8" s="69" t="s">
        <v>47</v>
      </c>
      <c r="CP8" s="1435"/>
      <c r="CQ8" s="1427"/>
      <c r="CR8" s="70"/>
      <c r="CS8" s="1486" t="s">
        <v>48</v>
      </c>
      <c r="CT8" s="1486" t="s">
        <v>49</v>
      </c>
      <c r="CU8" s="71" t="s">
        <v>50</v>
      </c>
      <c r="CV8" s="1486" t="s">
        <v>48</v>
      </c>
      <c r="CW8" s="72" t="s">
        <v>52</v>
      </c>
      <c r="CX8" s="1427"/>
      <c r="CY8" s="1427"/>
      <c r="CZ8" s="73"/>
      <c r="DA8" s="73"/>
      <c r="DB8" s="69" t="s">
        <v>47</v>
      </c>
      <c r="DC8" s="73"/>
      <c r="DD8" s="1427"/>
      <c r="DE8" s="1432"/>
      <c r="DF8" s="60" t="s">
        <v>47</v>
      </c>
      <c r="DG8" s="1435"/>
      <c r="DH8" s="1427"/>
      <c r="DI8" s="61"/>
      <c r="DJ8" s="1459" t="s">
        <v>48</v>
      </c>
      <c r="DK8" s="1459" t="s">
        <v>49</v>
      </c>
      <c r="DL8" s="50" t="s">
        <v>50</v>
      </c>
      <c r="DM8" s="1459" t="s">
        <v>48</v>
      </c>
      <c r="DN8" s="62" t="s">
        <v>52</v>
      </c>
      <c r="DO8" s="1427"/>
      <c r="DP8" s="1427"/>
      <c r="DQ8" s="63"/>
      <c r="DR8" s="63"/>
      <c r="DS8" s="60" t="s">
        <v>47</v>
      </c>
      <c r="DT8" s="63"/>
      <c r="DU8" s="1427"/>
      <c r="DV8" s="1432"/>
      <c r="DW8" s="74" t="s">
        <v>47</v>
      </c>
      <c r="DX8" s="1435"/>
      <c r="DY8" s="1427"/>
      <c r="DZ8" s="75"/>
      <c r="EA8" s="1460" t="s">
        <v>48</v>
      </c>
      <c r="EB8" s="1460" t="s">
        <v>49</v>
      </c>
      <c r="EC8" s="76" t="s">
        <v>50</v>
      </c>
      <c r="ED8" s="1460" t="s">
        <v>48</v>
      </c>
      <c r="EE8" s="77" t="s">
        <v>52</v>
      </c>
      <c r="EF8" s="1427"/>
      <c r="EG8" s="1427"/>
      <c r="EH8" s="78"/>
      <c r="EI8" s="78"/>
      <c r="EJ8" s="74" t="s">
        <v>47</v>
      </c>
      <c r="EK8" s="78"/>
      <c r="EL8" s="1427"/>
      <c r="EM8" s="1432"/>
      <c r="EN8" s="74" t="s">
        <v>47</v>
      </c>
      <c r="EO8" s="1435"/>
      <c r="EP8" s="1427"/>
      <c r="EQ8" s="75"/>
      <c r="ER8" s="1460" t="s">
        <v>48</v>
      </c>
      <c r="ES8" s="1460" t="s">
        <v>49</v>
      </c>
      <c r="ET8" s="76" t="s">
        <v>50</v>
      </c>
      <c r="EU8" s="1460" t="s">
        <v>48</v>
      </c>
      <c r="EV8" s="77" t="s">
        <v>52</v>
      </c>
      <c r="EW8" s="1427"/>
      <c r="EX8" s="1427"/>
      <c r="EY8" s="78"/>
      <c r="EZ8" s="78"/>
      <c r="FA8" s="74" t="s">
        <v>47</v>
      </c>
      <c r="FB8" s="78"/>
      <c r="FC8" s="1427"/>
      <c r="FD8" s="1432"/>
      <c r="FE8" s="74" t="s">
        <v>47</v>
      </c>
      <c r="FF8" s="1435"/>
      <c r="FG8" s="1427"/>
      <c r="FH8" s="75"/>
      <c r="FI8" s="1460" t="s">
        <v>48</v>
      </c>
      <c r="FJ8" s="1460" t="s">
        <v>49</v>
      </c>
      <c r="FK8" s="76" t="s">
        <v>50</v>
      </c>
      <c r="FL8" s="1460" t="s">
        <v>48</v>
      </c>
      <c r="FM8" s="77" t="s">
        <v>52</v>
      </c>
      <c r="FN8" s="1427"/>
      <c r="FO8" s="1427"/>
      <c r="FP8" s="78"/>
      <c r="FQ8" s="78"/>
      <c r="FR8" s="74" t="s">
        <v>47</v>
      </c>
      <c r="FS8" s="78"/>
      <c r="FT8" s="1427"/>
      <c r="FU8" s="1432"/>
      <c r="FV8" s="74" t="s">
        <v>47</v>
      </c>
      <c r="FW8" s="1435"/>
      <c r="FX8" s="1427"/>
      <c r="FY8" s="75"/>
      <c r="FZ8" s="1460" t="s">
        <v>48</v>
      </c>
      <c r="GA8" s="1460" t="s">
        <v>49</v>
      </c>
      <c r="GB8" s="76" t="s">
        <v>50</v>
      </c>
      <c r="GC8" s="1460" t="s">
        <v>48</v>
      </c>
      <c r="GD8" s="77" t="s">
        <v>52</v>
      </c>
      <c r="GE8" s="1427"/>
      <c r="GF8" s="1427"/>
      <c r="GG8" s="78"/>
      <c r="GH8" s="78"/>
      <c r="GI8" s="74" t="s">
        <v>47</v>
      </c>
      <c r="GJ8" s="78"/>
      <c r="GK8" s="1427"/>
      <c r="GL8" s="1432"/>
      <c r="GM8" s="74" t="s">
        <v>47</v>
      </c>
      <c r="GN8" s="1435"/>
      <c r="GO8" s="1427"/>
      <c r="GP8" s="75"/>
      <c r="GQ8" s="1460" t="s">
        <v>48</v>
      </c>
      <c r="GR8" s="1460" t="s">
        <v>49</v>
      </c>
      <c r="GS8" s="76" t="s">
        <v>50</v>
      </c>
      <c r="GT8" s="1460" t="s">
        <v>48</v>
      </c>
      <c r="GU8" s="77" t="s">
        <v>52</v>
      </c>
      <c r="GV8" s="1427"/>
      <c r="GW8" s="1427"/>
      <c r="GX8" s="78"/>
      <c r="GY8" s="78"/>
      <c r="GZ8" s="74" t="s">
        <v>47</v>
      </c>
      <c r="HA8" s="78"/>
      <c r="HB8" s="7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</row>
    <row r="9" spans="1:222" ht="15.5">
      <c r="A9" s="13"/>
      <c r="B9" s="1510"/>
      <c r="C9" s="1510"/>
      <c r="D9" s="1510"/>
      <c r="E9" s="1510"/>
      <c r="F9" s="1510"/>
      <c r="G9" s="1452"/>
      <c r="H9" s="80" t="s">
        <v>53</v>
      </c>
      <c r="I9" s="1436"/>
      <c r="J9" s="1448"/>
      <c r="K9" s="49" t="s">
        <v>54</v>
      </c>
      <c r="L9" s="1448"/>
      <c r="M9" s="1448"/>
      <c r="N9" s="81" t="s">
        <v>55</v>
      </c>
      <c r="O9" s="1448"/>
      <c r="P9" s="82" t="s">
        <v>56</v>
      </c>
      <c r="Q9" s="1428"/>
      <c r="R9" s="1428"/>
      <c r="S9" s="83"/>
      <c r="T9" s="83"/>
      <c r="U9" s="84" t="s">
        <v>53</v>
      </c>
      <c r="V9" s="1428"/>
      <c r="W9" s="1428"/>
      <c r="X9" s="1433"/>
      <c r="Y9" s="85" t="s">
        <v>53</v>
      </c>
      <c r="Z9" s="1436"/>
      <c r="AA9" s="1439"/>
      <c r="AB9" s="86" t="s">
        <v>54</v>
      </c>
      <c r="AC9" s="1439"/>
      <c r="AD9" s="1439"/>
      <c r="AE9" s="87" t="s">
        <v>55</v>
      </c>
      <c r="AF9" s="1448"/>
      <c r="AG9" s="88" t="s">
        <v>56</v>
      </c>
      <c r="AH9" s="1428"/>
      <c r="AI9" s="1445"/>
      <c r="AJ9" s="89"/>
      <c r="AK9" s="89"/>
      <c r="AL9" s="90" t="s">
        <v>53</v>
      </c>
      <c r="AM9" s="1428"/>
      <c r="AN9" s="1428"/>
      <c r="AO9" s="1433"/>
      <c r="AP9" s="91" t="s">
        <v>53</v>
      </c>
      <c r="AQ9" s="1436"/>
      <c r="AR9" s="1445"/>
      <c r="AS9" s="49" t="s">
        <v>54</v>
      </c>
      <c r="AT9" s="1439"/>
      <c r="AU9" s="1439"/>
      <c r="AV9" s="81" t="s">
        <v>55</v>
      </c>
      <c r="AW9" s="1448"/>
      <c r="AX9" s="92" t="s">
        <v>56</v>
      </c>
      <c r="AY9" s="1428"/>
      <c r="AZ9" s="1445"/>
      <c r="BA9" s="93"/>
      <c r="BB9" s="93"/>
      <c r="BC9" s="94" t="s">
        <v>53</v>
      </c>
      <c r="BD9" s="1428"/>
      <c r="BE9" s="1428"/>
      <c r="BF9" s="1433"/>
      <c r="BG9" s="95" t="s">
        <v>53</v>
      </c>
      <c r="BH9" s="1436"/>
      <c r="BI9" s="1445"/>
      <c r="BJ9" s="65" t="s">
        <v>54</v>
      </c>
      <c r="BK9" s="1439"/>
      <c r="BL9" s="1439"/>
      <c r="BM9" s="96" t="s">
        <v>55</v>
      </c>
      <c r="BN9" s="1439"/>
      <c r="BO9" s="97" t="s">
        <v>56</v>
      </c>
      <c r="BP9" s="1428"/>
      <c r="BQ9" s="1445"/>
      <c r="BR9" s="98"/>
      <c r="BS9" s="98"/>
      <c r="BT9" s="95" t="s">
        <v>53</v>
      </c>
      <c r="BU9" s="98"/>
      <c r="BV9" s="1428"/>
      <c r="BW9" s="1433"/>
      <c r="BX9" s="94" t="s">
        <v>53</v>
      </c>
      <c r="BY9" s="1436"/>
      <c r="BZ9" s="1445"/>
      <c r="CA9" s="61" t="s">
        <v>54</v>
      </c>
      <c r="CB9" s="1439"/>
      <c r="CC9" s="1439"/>
      <c r="CD9" s="81" t="s">
        <v>55</v>
      </c>
      <c r="CE9" s="1439"/>
      <c r="CF9" s="92" t="s">
        <v>56</v>
      </c>
      <c r="CG9" s="1428"/>
      <c r="CH9" s="1445"/>
      <c r="CI9" s="93"/>
      <c r="CJ9" s="93"/>
      <c r="CK9" s="94" t="s">
        <v>53</v>
      </c>
      <c r="CL9" s="93"/>
      <c r="CM9" s="1428"/>
      <c r="CN9" s="1433"/>
      <c r="CO9" s="99" t="s">
        <v>53</v>
      </c>
      <c r="CP9" s="1436"/>
      <c r="CQ9" s="1445"/>
      <c r="CR9" s="70" t="s">
        <v>54</v>
      </c>
      <c r="CS9" s="1439"/>
      <c r="CT9" s="1439"/>
      <c r="CU9" s="100" t="s">
        <v>55</v>
      </c>
      <c r="CV9" s="1439"/>
      <c r="CW9" s="101" t="s">
        <v>56</v>
      </c>
      <c r="CX9" s="1428"/>
      <c r="CY9" s="1445"/>
      <c r="CZ9" s="102"/>
      <c r="DA9" s="102"/>
      <c r="DB9" s="99" t="s">
        <v>53</v>
      </c>
      <c r="DC9" s="102"/>
      <c r="DD9" s="1428"/>
      <c r="DE9" s="1433"/>
      <c r="DF9" s="94" t="s">
        <v>53</v>
      </c>
      <c r="DG9" s="1436"/>
      <c r="DH9" s="1445"/>
      <c r="DI9" s="61" t="s">
        <v>54</v>
      </c>
      <c r="DJ9" s="1439"/>
      <c r="DK9" s="1439"/>
      <c r="DL9" s="81" t="s">
        <v>55</v>
      </c>
      <c r="DM9" s="1439"/>
      <c r="DN9" s="92" t="s">
        <v>56</v>
      </c>
      <c r="DO9" s="1428"/>
      <c r="DP9" s="1445"/>
      <c r="DQ9" s="93"/>
      <c r="DR9" s="93"/>
      <c r="DS9" s="94" t="s">
        <v>53</v>
      </c>
      <c r="DT9" s="93"/>
      <c r="DU9" s="1428"/>
      <c r="DV9" s="1433"/>
      <c r="DW9" s="103" t="s">
        <v>53</v>
      </c>
      <c r="DX9" s="1436"/>
      <c r="DY9" s="1445"/>
      <c r="DZ9" s="104"/>
      <c r="EA9" s="1439"/>
      <c r="EB9" s="1439"/>
      <c r="EC9" s="105" t="s">
        <v>55</v>
      </c>
      <c r="ED9" s="1439"/>
      <c r="EE9" s="106" t="s">
        <v>56</v>
      </c>
      <c r="EF9" s="1428"/>
      <c r="EG9" s="1445"/>
      <c r="EH9" s="107"/>
      <c r="EI9" s="107"/>
      <c r="EJ9" s="103" t="s">
        <v>53</v>
      </c>
      <c r="EK9" s="107"/>
      <c r="EL9" s="1428"/>
      <c r="EM9" s="1433"/>
      <c r="EN9" s="103" t="s">
        <v>53</v>
      </c>
      <c r="EO9" s="1436"/>
      <c r="EP9" s="1445"/>
      <c r="EQ9" s="75" t="s">
        <v>54</v>
      </c>
      <c r="ER9" s="1439"/>
      <c r="ES9" s="1439"/>
      <c r="ET9" s="105" t="s">
        <v>55</v>
      </c>
      <c r="EU9" s="1439"/>
      <c r="EV9" s="106" t="s">
        <v>56</v>
      </c>
      <c r="EW9" s="1428"/>
      <c r="EX9" s="1445"/>
      <c r="EY9" s="107"/>
      <c r="EZ9" s="107"/>
      <c r="FA9" s="103" t="s">
        <v>53</v>
      </c>
      <c r="FB9" s="107"/>
      <c r="FC9" s="1428"/>
      <c r="FD9" s="1433"/>
      <c r="FE9" s="103" t="s">
        <v>53</v>
      </c>
      <c r="FF9" s="1436"/>
      <c r="FG9" s="1445"/>
      <c r="FH9" s="75" t="s">
        <v>54</v>
      </c>
      <c r="FI9" s="1439"/>
      <c r="FJ9" s="1439"/>
      <c r="FK9" s="105" t="s">
        <v>55</v>
      </c>
      <c r="FL9" s="1439"/>
      <c r="FM9" s="106" t="s">
        <v>56</v>
      </c>
      <c r="FN9" s="1428"/>
      <c r="FO9" s="1445"/>
      <c r="FP9" s="107"/>
      <c r="FQ9" s="107"/>
      <c r="FR9" s="103" t="s">
        <v>53</v>
      </c>
      <c r="FS9" s="107"/>
      <c r="FT9" s="1428"/>
      <c r="FU9" s="1433"/>
      <c r="FV9" s="103" t="s">
        <v>53</v>
      </c>
      <c r="FW9" s="1436"/>
      <c r="FX9" s="1445"/>
      <c r="FY9" s="75" t="s">
        <v>54</v>
      </c>
      <c r="FZ9" s="1439"/>
      <c r="GA9" s="1439"/>
      <c r="GB9" s="105" t="s">
        <v>55</v>
      </c>
      <c r="GC9" s="1439"/>
      <c r="GD9" s="106" t="s">
        <v>56</v>
      </c>
      <c r="GE9" s="1428"/>
      <c r="GF9" s="1445"/>
      <c r="GG9" s="107"/>
      <c r="GH9" s="107"/>
      <c r="GI9" s="103" t="s">
        <v>53</v>
      </c>
      <c r="GJ9" s="107"/>
      <c r="GK9" s="1428"/>
      <c r="GL9" s="1433"/>
      <c r="GM9" s="103" t="s">
        <v>53</v>
      </c>
      <c r="GN9" s="1436"/>
      <c r="GO9" s="1445"/>
      <c r="GP9" s="75" t="s">
        <v>54</v>
      </c>
      <c r="GQ9" s="1439"/>
      <c r="GR9" s="1439"/>
      <c r="GS9" s="105" t="s">
        <v>55</v>
      </c>
      <c r="GT9" s="1439"/>
      <c r="GU9" s="106" t="s">
        <v>56</v>
      </c>
      <c r="GV9" s="1428"/>
      <c r="GW9" s="1445"/>
      <c r="GX9" s="107"/>
      <c r="GY9" s="107"/>
      <c r="GZ9" s="103" t="s">
        <v>53</v>
      </c>
      <c r="HA9" s="107"/>
      <c r="HB9" s="75" t="s">
        <v>54</v>
      </c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</row>
    <row r="10" spans="1:222" ht="22.5" customHeight="1">
      <c r="A10" s="108"/>
      <c r="B10" s="109">
        <v>158267</v>
      </c>
      <c r="C10" s="109" t="s">
        <v>57</v>
      </c>
      <c r="D10" s="110" t="s">
        <v>58</v>
      </c>
      <c r="E10" s="111">
        <v>6</v>
      </c>
      <c r="F10" s="112">
        <v>3</v>
      </c>
      <c r="G10" s="113"/>
      <c r="H10" s="114" t="s">
        <v>53</v>
      </c>
      <c r="I10" s="115" t="s">
        <v>59</v>
      </c>
      <c r="J10" s="116">
        <v>2161.0500000000002</v>
      </c>
      <c r="K10" s="117">
        <v>0.2</v>
      </c>
      <c r="L10" s="1505" t="s">
        <v>60</v>
      </c>
      <c r="M10" s="1457"/>
      <c r="N10" s="118">
        <v>0.4</v>
      </c>
      <c r="O10" s="119" t="s">
        <v>61</v>
      </c>
      <c r="P10" s="120">
        <v>40</v>
      </c>
      <c r="Q10" s="121">
        <v>0</v>
      </c>
      <c r="R10" s="121">
        <v>0</v>
      </c>
      <c r="S10" s="122">
        <v>20.5</v>
      </c>
      <c r="T10" s="122">
        <v>20.5</v>
      </c>
      <c r="U10" s="123" t="s">
        <v>53</v>
      </c>
      <c r="V10" s="124">
        <v>0</v>
      </c>
      <c r="W10" s="125" t="s">
        <v>53</v>
      </c>
      <c r="X10" s="126"/>
      <c r="Y10" s="127" t="s">
        <v>53</v>
      </c>
      <c r="Z10" s="128" t="s">
        <v>59</v>
      </c>
      <c r="AA10" s="129">
        <v>2161.0500000000002</v>
      </c>
      <c r="AB10" s="130">
        <v>0.25</v>
      </c>
      <c r="AC10" s="1515" t="s">
        <v>60</v>
      </c>
      <c r="AD10" s="1457"/>
      <c r="AE10" s="130">
        <v>0.4</v>
      </c>
      <c r="AF10" s="131" t="s">
        <v>61</v>
      </c>
      <c r="AG10" s="132">
        <v>44</v>
      </c>
      <c r="AH10" s="133">
        <v>0</v>
      </c>
      <c r="AI10" s="133">
        <v>0</v>
      </c>
      <c r="AJ10" s="134">
        <v>20.5</v>
      </c>
      <c r="AK10" s="134">
        <v>20.5</v>
      </c>
      <c r="AL10" s="135" t="s">
        <v>53</v>
      </c>
      <c r="AM10" s="136">
        <v>0</v>
      </c>
      <c r="AN10" s="137" t="s">
        <v>53</v>
      </c>
      <c r="AO10" s="138">
        <v>1</v>
      </c>
      <c r="AP10" s="139" t="s">
        <v>53</v>
      </c>
      <c r="AQ10" s="140" t="s">
        <v>62</v>
      </c>
      <c r="AR10" s="141">
        <v>2190.98</v>
      </c>
      <c r="AS10" s="117">
        <v>0.25</v>
      </c>
      <c r="AT10" s="1507" t="s">
        <v>60</v>
      </c>
      <c r="AU10" s="1457"/>
      <c r="AV10" s="117">
        <v>0.2</v>
      </c>
      <c r="AW10" s="119" t="s">
        <v>61</v>
      </c>
      <c r="AX10" s="142">
        <v>44</v>
      </c>
      <c r="AY10" s="121">
        <v>0</v>
      </c>
      <c r="AZ10" s="121">
        <v>0</v>
      </c>
      <c r="BA10" s="122">
        <v>20.5</v>
      </c>
      <c r="BB10" s="122">
        <v>20.5</v>
      </c>
      <c r="BC10" s="123" t="s">
        <v>53</v>
      </c>
      <c r="BD10" s="143">
        <v>3</v>
      </c>
      <c r="BE10" s="125" t="s">
        <v>53</v>
      </c>
      <c r="BF10" s="144"/>
      <c r="BG10" s="145" t="s">
        <v>53</v>
      </c>
      <c r="BH10" s="146" t="s">
        <v>62</v>
      </c>
      <c r="BI10" s="147">
        <v>2190.98</v>
      </c>
      <c r="BJ10" s="148">
        <v>0.25</v>
      </c>
      <c r="BK10" s="1500" t="s">
        <v>60</v>
      </c>
      <c r="BL10" s="1457"/>
      <c r="BM10" s="148">
        <v>0.2</v>
      </c>
      <c r="BN10" s="149" t="s">
        <v>61</v>
      </c>
      <c r="BO10" s="150">
        <v>40</v>
      </c>
      <c r="BP10" s="151">
        <v>0</v>
      </c>
      <c r="BQ10" s="151">
        <v>0</v>
      </c>
      <c r="BR10" s="152">
        <v>20.5</v>
      </c>
      <c r="BS10" s="152">
        <v>20.5</v>
      </c>
      <c r="BT10" s="152" t="s">
        <v>47</v>
      </c>
      <c r="BU10" s="152"/>
      <c r="BV10" s="153" t="s">
        <v>53</v>
      </c>
      <c r="BW10" s="154"/>
      <c r="BX10" s="114" t="s">
        <v>53</v>
      </c>
      <c r="BY10" s="140" t="s">
        <v>62</v>
      </c>
      <c r="BZ10" s="155">
        <v>5637.96</v>
      </c>
      <c r="CA10" s="118">
        <v>0.25</v>
      </c>
      <c r="CB10" s="1499" t="s">
        <v>60</v>
      </c>
      <c r="CC10" s="1457"/>
      <c r="CD10" s="118">
        <v>0.2</v>
      </c>
      <c r="CE10" s="119" t="s">
        <v>63</v>
      </c>
      <c r="CF10" s="156">
        <v>44</v>
      </c>
      <c r="CG10" s="157">
        <v>0</v>
      </c>
      <c r="CH10" s="157">
        <v>0</v>
      </c>
      <c r="CI10" s="123">
        <v>20.5</v>
      </c>
      <c r="CJ10" s="123">
        <v>20.5</v>
      </c>
      <c r="CK10" s="123" t="s">
        <v>53</v>
      </c>
      <c r="CL10" s="123"/>
      <c r="CM10" s="158" t="s">
        <v>53</v>
      </c>
      <c r="CN10" s="159"/>
      <c r="CO10" s="160" t="s">
        <v>53</v>
      </c>
      <c r="CP10" s="161" t="s">
        <v>62</v>
      </c>
      <c r="CQ10" s="162">
        <v>5637.96</v>
      </c>
      <c r="CR10" s="163">
        <v>0.25</v>
      </c>
      <c r="CS10" s="1498" t="s">
        <v>60</v>
      </c>
      <c r="CT10" s="1457"/>
      <c r="CU10" s="163">
        <v>0.2</v>
      </c>
      <c r="CV10" s="164" t="s">
        <v>63</v>
      </c>
      <c r="CW10" s="165">
        <v>44</v>
      </c>
      <c r="CX10" s="166">
        <v>0</v>
      </c>
      <c r="CY10" s="166">
        <v>0</v>
      </c>
      <c r="CZ10" s="167">
        <v>20.5</v>
      </c>
      <c r="DA10" s="167">
        <v>20.5</v>
      </c>
      <c r="DB10" s="167" t="s">
        <v>53</v>
      </c>
      <c r="DC10" s="167"/>
      <c r="DD10" s="168" t="s">
        <v>53</v>
      </c>
      <c r="DE10" s="154"/>
      <c r="DF10" s="114" t="s">
        <v>53</v>
      </c>
      <c r="DG10" s="169" t="s">
        <v>59</v>
      </c>
      <c r="DH10" s="155">
        <v>2161.0500000000002</v>
      </c>
      <c r="DI10" s="118">
        <v>0.25</v>
      </c>
      <c r="DJ10" s="1505" t="s">
        <v>60</v>
      </c>
      <c r="DK10" s="1457"/>
      <c r="DL10" s="118">
        <v>0.2</v>
      </c>
      <c r="DM10" s="119" t="s">
        <v>61</v>
      </c>
      <c r="DN10" s="170">
        <v>40</v>
      </c>
      <c r="DO10" s="157">
        <v>0</v>
      </c>
      <c r="DP10" s="157">
        <v>0</v>
      </c>
      <c r="DQ10" s="123">
        <v>20.5</v>
      </c>
      <c r="DR10" s="123">
        <v>20.5</v>
      </c>
      <c r="DS10" s="123" t="s">
        <v>53</v>
      </c>
      <c r="DT10" s="123"/>
      <c r="DU10" s="158" t="s">
        <v>53</v>
      </c>
      <c r="DV10" s="171">
        <v>0</v>
      </c>
      <c r="DW10" s="172" t="s">
        <v>53</v>
      </c>
      <c r="DX10" s="173" t="s">
        <v>64</v>
      </c>
      <c r="DY10" s="174">
        <v>1854.91</v>
      </c>
      <c r="DZ10" s="175">
        <v>0.25</v>
      </c>
      <c r="EA10" s="1506" t="s">
        <v>60</v>
      </c>
      <c r="EB10" s="1457"/>
      <c r="EC10" s="175">
        <v>0.2</v>
      </c>
      <c r="ED10" s="176" t="s">
        <v>63</v>
      </c>
      <c r="EE10" s="177">
        <v>20</v>
      </c>
      <c r="EF10" s="178">
        <v>0</v>
      </c>
      <c r="EG10" s="178">
        <v>0</v>
      </c>
      <c r="EH10" s="179">
        <v>22</v>
      </c>
      <c r="EI10" s="179">
        <v>22</v>
      </c>
      <c r="EJ10" s="179" t="s">
        <v>47</v>
      </c>
      <c r="EK10" s="179"/>
      <c r="EL10" s="179" t="s">
        <v>47</v>
      </c>
      <c r="EM10" s="171">
        <v>0</v>
      </c>
      <c r="EN10" s="172" t="s">
        <v>53</v>
      </c>
      <c r="EO10" s="173" t="s">
        <v>64</v>
      </c>
      <c r="EP10" s="174">
        <v>2925.11</v>
      </c>
      <c r="EQ10" s="175">
        <v>0.25</v>
      </c>
      <c r="ER10" s="1506" t="s">
        <v>60</v>
      </c>
      <c r="ES10" s="1457"/>
      <c r="ET10" s="175">
        <v>0.2</v>
      </c>
      <c r="EU10" s="176" t="s">
        <v>63</v>
      </c>
      <c r="EV10" s="177">
        <v>44</v>
      </c>
      <c r="EW10" s="178">
        <v>0</v>
      </c>
      <c r="EX10" s="178">
        <v>0</v>
      </c>
      <c r="EY10" s="179">
        <v>22</v>
      </c>
      <c r="EZ10" s="179">
        <v>22</v>
      </c>
      <c r="FA10" s="179" t="s">
        <v>47</v>
      </c>
      <c r="FB10" s="179"/>
      <c r="FC10" s="179" t="s">
        <v>47</v>
      </c>
      <c r="FD10" s="171">
        <v>0</v>
      </c>
      <c r="FE10" s="172" t="s">
        <v>53</v>
      </c>
      <c r="FF10" s="173" t="s">
        <v>64</v>
      </c>
      <c r="FG10" s="174">
        <v>1741.45</v>
      </c>
      <c r="FH10" s="175">
        <v>0.25</v>
      </c>
      <c r="FI10" s="1506" t="s">
        <v>60</v>
      </c>
      <c r="FJ10" s="1457"/>
      <c r="FK10" s="175">
        <v>0.2</v>
      </c>
      <c r="FL10" s="176" t="s">
        <v>65</v>
      </c>
      <c r="FM10" s="177">
        <v>44</v>
      </c>
      <c r="FN10" s="178">
        <f>IFERROR((52/(IF(FE10="S",FD10+(IF(Y10="S",X10,0))+(IF(AS10="S",AR10,0)),0)))/12,0)</f>
        <v>0</v>
      </c>
      <c r="FO10" s="178">
        <f>IFERROR(((52+12)/(IF(BG10="S",BF10+(IF(Y10="S",X10,0))+(IF(AS10="S",AR10,0)),0)))/12,0)</f>
        <v>0</v>
      </c>
      <c r="FP10" s="179">
        <v>9</v>
      </c>
      <c r="FQ10" s="179"/>
      <c r="FR10" s="179" t="s">
        <v>47</v>
      </c>
      <c r="FS10" s="179"/>
      <c r="FT10" s="179"/>
      <c r="FU10" s="171">
        <v>0</v>
      </c>
      <c r="FV10" s="172" t="s">
        <v>53</v>
      </c>
      <c r="FW10" s="173" t="s">
        <v>66</v>
      </c>
      <c r="FX10" s="174">
        <v>0</v>
      </c>
      <c r="FY10" s="175">
        <v>0.25</v>
      </c>
      <c r="FZ10" s="1506" t="s">
        <v>60</v>
      </c>
      <c r="GA10" s="1457"/>
      <c r="GB10" s="175">
        <v>0.2</v>
      </c>
      <c r="GC10" s="176" t="s">
        <v>63</v>
      </c>
      <c r="GD10" s="177">
        <v>44</v>
      </c>
      <c r="GE10" s="178">
        <f>IFERROR((52/(IF(FV10="S",FU10+(IF(Y10="S",X10,0))+(IF(AS10="S",AR10,0)),0)))/12,0)</f>
        <v>0</v>
      </c>
      <c r="GF10" s="178">
        <f>IFERROR(((52+12)/(IF(BG10="S",BF10+(IF(Y10="S",X10,0))+(IF(AS10="S",AR10,0)),0)))/12,0)</f>
        <v>0</v>
      </c>
      <c r="GG10" s="179">
        <v>0</v>
      </c>
      <c r="GH10" s="179"/>
      <c r="GI10" s="179" t="s">
        <v>47</v>
      </c>
      <c r="GJ10" s="179"/>
      <c r="GK10" s="179"/>
      <c r="GL10" s="171">
        <v>0</v>
      </c>
      <c r="GM10" s="172" t="s">
        <v>53</v>
      </c>
      <c r="GN10" s="173" t="s">
        <v>66</v>
      </c>
      <c r="GO10" s="174">
        <v>0</v>
      </c>
      <c r="GP10" s="175">
        <v>0.25</v>
      </c>
      <c r="GQ10" s="1506" t="s">
        <v>60</v>
      </c>
      <c r="GR10" s="1457"/>
      <c r="GS10" s="175">
        <v>0.2</v>
      </c>
      <c r="GT10" s="176" t="s">
        <v>63</v>
      </c>
      <c r="GU10" s="177">
        <v>44</v>
      </c>
      <c r="GV10" s="178" t="e">
        <f>IFERROR((52/(IF(GM10="S",GL10+(IF(Y10="S",X10,0))+(IF(AS10="S",AR10,0)),0)))/12,0)*#REF!</f>
        <v>#REF!</v>
      </c>
      <c r="GW10" s="178">
        <f>IFERROR(((52+12)/(IF(GM10="S",GL10+(IF(Y10="S",X10,0))+(IF(AS10="S",AR10,0)),0)))/12,0)</f>
        <v>0</v>
      </c>
      <c r="GX10" s="179">
        <v>0</v>
      </c>
      <c r="GY10" s="179"/>
      <c r="GZ10" s="179" t="s">
        <v>47</v>
      </c>
      <c r="HA10" s="179"/>
      <c r="HB10" s="180"/>
      <c r="HC10" s="181">
        <f t="shared" ref="HC10:HC24" si="3">G10+X10+AO10+BF10+BW10+CN10+DE10</f>
        <v>1</v>
      </c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3">
        <f>G10+X10+AO10+BF10+BW10+CN10+DE10+DV10+EM10+FD10+FU10+GL10</f>
        <v>1</v>
      </c>
    </row>
    <row r="11" spans="1:222" ht="22.5" customHeight="1">
      <c r="A11" s="13"/>
      <c r="B11" s="109"/>
      <c r="C11" s="109"/>
      <c r="D11" s="110" t="s">
        <v>67</v>
      </c>
      <c r="E11" s="184">
        <v>4</v>
      </c>
      <c r="F11" s="185">
        <v>3.5</v>
      </c>
      <c r="G11" s="186"/>
      <c r="H11" s="187" t="s">
        <v>53</v>
      </c>
      <c r="I11" s="115" t="s">
        <v>59</v>
      </c>
      <c r="J11" s="116">
        <v>2161.0500000000002</v>
      </c>
      <c r="K11" s="188">
        <v>0.2</v>
      </c>
      <c r="L11" s="1505" t="s">
        <v>60</v>
      </c>
      <c r="M11" s="1457"/>
      <c r="N11" s="118">
        <v>0.4</v>
      </c>
      <c r="O11" s="119" t="s">
        <v>61</v>
      </c>
      <c r="P11" s="189">
        <v>40</v>
      </c>
      <c r="Q11" s="190">
        <v>0</v>
      </c>
      <c r="R11" s="190">
        <v>0</v>
      </c>
      <c r="S11" s="191">
        <v>20.5</v>
      </c>
      <c r="T11" s="191">
        <v>20.5</v>
      </c>
      <c r="U11" s="123" t="s">
        <v>53</v>
      </c>
      <c r="V11" s="192"/>
      <c r="W11" s="125" t="s">
        <v>53</v>
      </c>
      <c r="X11" s="193"/>
      <c r="Y11" s="194" t="s">
        <v>53</v>
      </c>
      <c r="Z11" s="195" t="s">
        <v>59</v>
      </c>
      <c r="AA11" s="129">
        <v>2161.0500000000002</v>
      </c>
      <c r="AB11" s="130">
        <v>0.25</v>
      </c>
      <c r="AC11" s="1515" t="s">
        <v>60</v>
      </c>
      <c r="AD11" s="1457"/>
      <c r="AE11" s="130">
        <v>0.4</v>
      </c>
      <c r="AF11" s="131" t="s">
        <v>61</v>
      </c>
      <c r="AG11" s="132">
        <v>44</v>
      </c>
      <c r="AH11" s="196">
        <v>0</v>
      </c>
      <c r="AI11" s="196">
        <v>0</v>
      </c>
      <c r="AJ11" s="197">
        <v>20.5</v>
      </c>
      <c r="AK11" s="197">
        <v>20.5</v>
      </c>
      <c r="AL11" s="135" t="s">
        <v>53</v>
      </c>
      <c r="AM11" s="198"/>
      <c r="AN11" s="137" t="s">
        <v>53</v>
      </c>
      <c r="AO11" s="199"/>
      <c r="AP11" s="200" t="s">
        <v>53</v>
      </c>
      <c r="AQ11" s="140" t="s">
        <v>62</v>
      </c>
      <c r="AR11" s="141">
        <v>2190.98</v>
      </c>
      <c r="AS11" s="117">
        <v>0.25</v>
      </c>
      <c r="AT11" s="1507" t="s">
        <v>60</v>
      </c>
      <c r="AU11" s="1457"/>
      <c r="AV11" s="201">
        <v>0.2</v>
      </c>
      <c r="AW11" s="119" t="s">
        <v>61</v>
      </c>
      <c r="AX11" s="142">
        <v>44</v>
      </c>
      <c r="AY11" s="190">
        <v>0</v>
      </c>
      <c r="AZ11" s="190">
        <v>0</v>
      </c>
      <c r="BA11" s="191">
        <v>20.5</v>
      </c>
      <c r="BB11" s="191">
        <v>20.5</v>
      </c>
      <c r="BC11" s="123" t="s">
        <v>53</v>
      </c>
      <c r="BD11" s="202"/>
      <c r="BE11" s="125" t="s">
        <v>53</v>
      </c>
      <c r="BF11" s="203"/>
      <c r="BG11" s="204" t="s">
        <v>53</v>
      </c>
      <c r="BH11" s="146" t="s">
        <v>62</v>
      </c>
      <c r="BI11" s="147">
        <v>2190.98</v>
      </c>
      <c r="BJ11" s="205">
        <v>0.25</v>
      </c>
      <c r="BK11" s="206" t="s">
        <v>60</v>
      </c>
      <c r="BL11" s="206"/>
      <c r="BM11" s="205">
        <v>0.2</v>
      </c>
      <c r="BN11" s="149" t="s">
        <v>61</v>
      </c>
      <c r="BO11" s="150">
        <v>40</v>
      </c>
      <c r="BP11" s="207">
        <v>0</v>
      </c>
      <c r="BQ11" s="207">
        <v>0</v>
      </c>
      <c r="BR11" s="208">
        <v>20.5</v>
      </c>
      <c r="BS11" s="208">
        <v>20.5</v>
      </c>
      <c r="BT11" s="146"/>
      <c r="BU11" s="208"/>
      <c r="BV11" s="153" t="s">
        <v>53</v>
      </c>
      <c r="BW11" s="209">
        <v>1</v>
      </c>
      <c r="BX11" s="210" t="s">
        <v>53</v>
      </c>
      <c r="BY11" s="140" t="s">
        <v>62</v>
      </c>
      <c r="BZ11" s="155">
        <v>5637.96</v>
      </c>
      <c r="CA11" s="201">
        <v>0.25</v>
      </c>
      <c r="CB11" s="211" t="s">
        <v>60</v>
      </c>
      <c r="CC11" s="211"/>
      <c r="CD11" s="201">
        <v>0.2</v>
      </c>
      <c r="CE11" s="212" t="s">
        <v>63</v>
      </c>
      <c r="CF11" s="156">
        <v>44</v>
      </c>
      <c r="CG11" s="213">
        <v>0</v>
      </c>
      <c r="CH11" s="213">
        <v>0</v>
      </c>
      <c r="CI11" s="202">
        <v>20.5</v>
      </c>
      <c r="CJ11" s="202">
        <v>20.5</v>
      </c>
      <c r="CK11" s="140" t="s">
        <v>53</v>
      </c>
      <c r="CL11" s="202"/>
      <c r="CM11" s="158" t="s">
        <v>53</v>
      </c>
      <c r="CN11" s="214"/>
      <c r="CO11" s="215" t="s">
        <v>53</v>
      </c>
      <c r="CP11" s="161" t="s">
        <v>62</v>
      </c>
      <c r="CQ11" s="162">
        <v>5637.96</v>
      </c>
      <c r="CR11" s="216">
        <v>0.25</v>
      </c>
      <c r="CS11" s="217" t="s">
        <v>60</v>
      </c>
      <c r="CT11" s="217"/>
      <c r="CU11" s="216">
        <v>0.2</v>
      </c>
      <c r="CV11" s="218" t="s">
        <v>63</v>
      </c>
      <c r="CW11" s="165">
        <v>44</v>
      </c>
      <c r="CX11" s="219">
        <v>0</v>
      </c>
      <c r="CY11" s="219">
        <v>0</v>
      </c>
      <c r="CZ11" s="220">
        <v>20.5</v>
      </c>
      <c r="DA11" s="220">
        <v>20.5</v>
      </c>
      <c r="DB11" s="167" t="s">
        <v>53</v>
      </c>
      <c r="DC11" s="220"/>
      <c r="DD11" s="168" t="s">
        <v>53</v>
      </c>
      <c r="DE11" s="209">
        <v>2</v>
      </c>
      <c r="DF11" s="210" t="s">
        <v>53</v>
      </c>
      <c r="DG11" s="169" t="s">
        <v>59</v>
      </c>
      <c r="DH11" s="155">
        <v>2161.0500000000002</v>
      </c>
      <c r="DI11" s="201">
        <v>0.25</v>
      </c>
      <c r="DJ11" s="1505" t="s">
        <v>60</v>
      </c>
      <c r="DK11" s="1457"/>
      <c r="DL11" s="201">
        <v>0.2</v>
      </c>
      <c r="DM11" s="119" t="s">
        <v>61</v>
      </c>
      <c r="DN11" s="170">
        <v>40</v>
      </c>
      <c r="DO11" s="213">
        <v>0</v>
      </c>
      <c r="DP11" s="213">
        <v>0</v>
      </c>
      <c r="DQ11" s="202">
        <v>20.5</v>
      </c>
      <c r="DR11" s="202">
        <v>20.5</v>
      </c>
      <c r="DS11" s="140" t="s">
        <v>53</v>
      </c>
      <c r="DT11" s="202"/>
      <c r="DU11" s="158" t="s">
        <v>53</v>
      </c>
      <c r="DV11" s="221">
        <v>0</v>
      </c>
      <c r="DW11" s="222" t="s">
        <v>53</v>
      </c>
      <c r="DX11" s="173" t="s">
        <v>64</v>
      </c>
      <c r="DY11" s="223">
        <v>1854.91</v>
      </c>
      <c r="DZ11" s="224">
        <v>0.25</v>
      </c>
      <c r="EA11" s="225" t="s">
        <v>60</v>
      </c>
      <c r="EB11" s="225"/>
      <c r="EC11" s="224">
        <v>0.2</v>
      </c>
      <c r="ED11" s="226" t="s">
        <v>63</v>
      </c>
      <c r="EE11" s="177">
        <v>20</v>
      </c>
      <c r="EF11" s="227">
        <v>0</v>
      </c>
      <c r="EG11" s="227">
        <v>0</v>
      </c>
      <c r="EH11" s="228"/>
      <c r="EI11" s="228"/>
      <c r="EJ11" s="173" t="s">
        <v>47</v>
      </c>
      <c r="EK11" s="228"/>
      <c r="EL11" s="228" t="s">
        <v>47</v>
      </c>
      <c r="EM11" s="221">
        <v>0</v>
      </c>
      <c r="EN11" s="222"/>
      <c r="EO11" s="173" t="s">
        <v>64</v>
      </c>
      <c r="EP11" s="223">
        <v>2925.11</v>
      </c>
      <c r="EQ11" s="224">
        <v>0.25</v>
      </c>
      <c r="ER11" s="225" t="s">
        <v>60</v>
      </c>
      <c r="ES11" s="225"/>
      <c r="ET11" s="224">
        <v>0.2</v>
      </c>
      <c r="EU11" s="226" t="s">
        <v>63</v>
      </c>
      <c r="EV11" s="177">
        <v>44</v>
      </c>
      <c r="EW11" s="227">
        <v>0</v>
      </c>
      <c r="EX11" s="227">
        <v>0</v>
      </c>
      <c r="EY11" s="228">
        <v>22</v>
      </c>
      <c r="EZ11" s="228">
        <v>22</v>
      </c>
      <c r="FA11" s="173" t="s">
        <v>47</v>
      </c>
      <c r="FB11" s="228"/>
      <c r="FC11" s="228" t="s">
        <v>47</v>
      </c>
      <c r="FD11" s="221">
        <v>0</v>
      </c>
      <c r="FE11" s="222"/>
      <c r="FF11" s="173" t="s">
        <v>64</v>
      </c>
      <c r="FG11" s="223"/>
      <c r="FH11" s="224"/>
      <c r="FI11" s="225"/>
      <c r="FJ11" s="225"/>
      <c r="FK11" s="224"/>
      <c r="FL11" s="226"/>
      <c r="FM11" s="177"/>
      <c r="FN11" s="227"/>
      <c r="FO11" s="227"/>
      <c r="FP11" s="228"/>
      <c r="FQ11" s="228"/>
      <c r="FR11" s="173"/>
      <c r="FS11" s="228"/>
      <c r="FT11" s="228"/>
      <c r="FU11" s="221">
        <v>0</v>
      </c>
      <c r="FV11" s="222"/>
      <c r="FW11" s="173"/>
      <c r="FX11" s="223"/>
      <c r="FY11" s="224"/>
      <c r="FZ11" s="225"/>
      <c r="GA11" s="225"/>
      <c r="GB11" s="224"/>
      <c r="GC11" s="226"/>
      <c r="GD11" s="177"/>
      <c r="GE11" s="227"/>
      <c r="GF11" s="227"/>
      <c r="GG11" s="228"/>
      <c r="GH11" s="228"/>
      <c r="GI11" s="173"/>
      <c r="GJ11" s="228"/>
      <c r="GK11" s="228"/>
      <c r="GL11" s="221">
        <v>0</v>
      </c>
      <c r="GM11" s="222"/>
      <c r="GN11" s="173"/>
      <c r="GO11" s="223"/>
      <c r="GP11" s="224"/>
      <c r="GQ11" s="225"/>
      <c r="GR11" s="225"/>
      <c r="GS11" s="224"/>
      <c r="GT11" s="226"/>
      <c r="GU11" s="177"/>
      <c r="GV11" s="227"/>
      <c r="GW11" s="227"/>
      <c r="GX11" s="228"/>
      <c r="GY11" s="228"/>
      <c r="GZ11" s="173"/>
      <c r="HA11" s="228"/>
      <c r="HB11" s="228"/>
      <c r="HC11" s="181">
        <f t="shared" si="3"/>
        <v>3</v>
      </c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183"/>
    </row>
    <row r="12" spans="1:222" ht="22.5" customHeight="1">
      <c r="A12" s="13"/>
      <c r="B12" s="229">
        <v>155570</v>
      </c>
      <c r="C12" s="229" t="s">
        <v>68</v>
      </c>
      <c r="D12" s="230" t="s">
        <v>69</v>
      </c>
      <c r="E12" s="184">
        <v>4</v>
      </c>
      <c r="F12" s="231">
        <v>3</v>
      </c>
      <c r="G12" s="232"/>
      <c r="H12" s="233" t="s">
        <v>53</v>
      </c>
      <c r="I12" s="115" t="s">
        <v>70</v>
      </c>
      <c r="J12" s="116">
        <v>2161.0500000000002</v>
      </c>
      <c r="K12" s="188">
        <v>0.2</v>
      </c>
      <c r="L12" s="1516" t="s">
        <v>60</v>
      </c>
      <c r="M12" s="1457"/>
      <c r="N12" s="118">
        <v>0.4</v>
      </c>
      <c r="O12" s="119" t="s">
        <v>61</v>
      </c>
      <c r="P12" s="189">
        <v>40</v>
      </c>
      <c r="Q12" s="190">
        <v>0</v>
      </c>
      <c r="R12" s="190">
        <v>0</v>
      </c>
      <c r="S12" s="234">
        <v>20.5</v>
      </c>
      <c r="T12" s="234">
        <v>20.5</v>
      </c>
      <c r="U12" s="123" t="s">
        <v>53</v>
      </c>
      <c r="V12" s="235">
        <v>0</v>
      </c>
      <c r="W12" s="125" t="s">
        <v>53</v>
      </c>
      <c r="X12" s="236"/>
      <c r="Y12" s="237" t="s">
        <v>53</v>
      </c>
      <c r="Z12" s="195" t="s">
        <v>70</v>
      </c>
      <c r="AA12" s="129">
        <v>2161.0500000000002</v>
      </c>
      <c r="AB12" s="238">
        <v>0.25</v>
      </c>
      <c r="AC12" s="1515" t="s">
        <v>60</v>
      </c>
      <c r="AD12" s="1457"/>
      <c r="AE12" s="130">
        <v>0.4</v>
      </c>
      <c r="AF12" s="131" t="s">
        <v>61</v>
      </c>
      <c r="AG12" s="132">
        <v>44</v>
      </c>
      <c r="AH12" s="196">
        <v>0</v>
      </c>
      <c r="AI12" s="196">
        <v>0</v>
      </c>
      <c r="AJ12" s="239">
        <v>20.5</v>
      </c>
      <c r="AK12" s="239">
        <v>20.5</v>
      </c>
      <c r="AL12" s="135" t="s">
        <v>53</v>
      </c>
      <c r="AM12" s="240">
        <v>0</v>
      </c>
      <c r="AN12" s="137" t="s">
        <v>53</v>
      </c>
      <c r="AO12" s="241">
        <v>3</v>
      </c>
      <c r="AP12" s="242" t="s">
        <v>53</v>
      </c>
      <c r="AQ12" s="140" t="s">
        <v>62</v>
      </c>
      <c r="AR12" s="141">
        <v>2190.98</v>
      </c>
      <c r="AS12" s="117">
        <v>0.25</v>
      </c>
      <c r="AT12" s="1507" t="s">
        <v>60</v>
      </c>
      <c r="AU12" s="1457"/>
      <c r="AV12" s="243">
        <v>0.2</v>
      </c>
      <c r="AW12" s="119" t="s">
        <v>61</v>
      </c>
      <c r="AX12" s="142">
        <v>44</v>
      </c>
      <c r="AY12" s="190">
        <v>0</v>
      </c>
      <c r="AZ12" s="190">
        <v>0</v>
      </c>
      <c r="BA12" s="234">
        <v>20.5</v>
      </c>
      <c r="BB12" s="234">
        <v>20.5</v>
      </c>
      <c r="BC12" s="123" t="s">
        <v>53</v>
      </c>
      <c r="BD12" s="140">
        <v>1</v>
      </c>
      <c r="BE12" s="125" t="s">
        <v>53</v>
      </c>
      <c r="BF12" s="244">
        <v>2</v>
      </c>
      <c r="BG12" s="245" t="s">
        <v>53</v>
      </c>
      <c r="BH12" s="146" t="s">
        <v>62</v>
      </c>
      <c r="BI12" s="147">
        <v>2190.98</v>
      </c>
      <c r="BJ12" s="246">
        <v>0.25</v>
      </c>
      <c r="BK12" s="1500" t="s">
        <v>60</v>
      </c>
      <c r="BL12" s="1457"/>
      <c r="BM12" s="246">
        <v>0.2</v>
      </c>
      <c r="BN12" s="149" t="s">
        <v>61</v>
      </c>
      <c r="BO12" s="150">
        <v>40</v>
      </c>
      <c r="BP12" s="207">
        <v>0</v>
      </c>
      <c r="BQ12" s="207">
        <v>0</v>
      </c>
      <c r="BR12" s="247">
        <v>20.5</v>
      </c>
      <c r="BS12" s="247">
        <v>20.5</v>
      </c>
      <c r="BT12" s="146" t="s">
        <v>47</v>
      </c>
      <c r="BU12" s="247"/>
      <c r="BV12" s="153" t="s">
        <v>53</v>
      </c>
      <c r="BW12" s="248">
        <v>1</v>
      </c>
      <c r="BX12" s="249" t="s">
        <v>53</v>
      </c>
      <c r="BY12" s="140" t="s">
        <v>62</v>
      </c>
      <c r="BZ12" s="155">
        <v>5637.96</v>
      </c>
      <c r="CA12" s="243">
        <v>0.25</v>
      </c>
      <c r="CB12" s="1499" t="s">
        <v>60</v>
      </c>
      <c r="CC12" s="1457"/>
      <c r="CD12" s="243">
        <v>0.2</v>
      </c>
      <c r="CE12" s="212" t="s">
        <v>63</v>
      </c>
      <c r="CF12" s="156">
        <v>44</v>
      </c>
      <c r="CG12" s="213">
        <v>0</v>
      </c>
      <c r="CH12" s="213">
        <v>0</v>
      </c>
      <c r="CI12" s="143">
        <v>20.5</v>
      </c>
      <c r="CJ12" s="143">
        <v>20.5</v>
      </c>
      <c r="CK12" s="140" t="s">
        <v>53</v>
      </c>
      <c r="CL12" s="143"/>
      <c r="CM12" s="158" t="s">
        <v>53</v>
      </c>
      <c r="CN12" s="250">
        <v>2</v>
      </c>
      <c r="CO12" s="251" t="s">
        <v>53</v>
      </c>
      <c r="CP12" s="161" t="s">
        <v>62</v>
      </c>
      <c r="CQ12" s="162">
        <v>5637.96</v>
      </c>
      <c r="CR12" s="252">
        <v>0.25</v>
      </c>
      <c r="CS12" s="1498" t="s">
        <v>60</v>
      </c>
      <c r="CT12" s="1457"/>
      <c r="CU12" s="252">
        <v>0.2</v>
      </c>
      <c r="CV12" s="218" t="s">
        <v>63</v>
      </c>
      <c r="CW12" s="165">
        <v>44</v>
      </c>
      <c r="CX12" s="219">
        <v>0</v>
      </c>
      <c r="CY12" s="219">
        <v>0</v>
      </c>
      <c r="CZ12" s="253">
        <v>20.5</v>
      </c>
      <c r="DA12" s="253">
        <v>20.5</v>
      </c>
      <c r="DB12" s="167" t="s">
        <v>53</v>
      </c>
      <c r="DC12" s="253"/>
      <c r="DD12" s="168" t="s">
        <v>53</v>
      </c>
      <c r="DE12" s="248">
        <v>1</v>
      </c>
      <c r="DF12" s="249" t="s">
        <v>53</v>
      </c>
      <c r="DG12" s="169" t="s">
        <v>70</v>
      </c>
      <c r="DH12" s="155">
        <v>2161.0500000000002</v>
      </c>
      <c r="DI12" s="243">
        <v>0.25</v>
      </c>
      <c r="DJ12" s="1505" t="s">
        <v>60</v>
      </c>
      <c r="DK12" s="1457"/>
      <c r="DL12" s="243">
        <v>0.2</v>
      </c>
      <c r="DM12" s="119" t="s">
        <v>61</v>
      </c>
      <c r="DN12" s="170">
        <v>40</v>
      </c>
      <c r="DO12" s="213">
        <v>0</v>
      </c>
      <c r="DP12" s="213">
        <v>0</v>
      </c>
      <c r="DQ12" s="143">
        <v>20.5</v>
      </c>
      <c r="DR12" s="143">
        <v>20.5</v>
      </c>
      <c r="DS12" s="140" t="s">
        <v>53</v>
      </c>
      <c r="DT12" s="143"/>
      <c r="DU12" s="158" t="s">
        <v>53</v>
      </c>
      <c r="DV12" s="254">
        <v>0</v>
      </c>
      <c r="DW12" s="255" t="s">
        <v>53</v>
      </c>
      <c r="DX12" s="173" t="s">
        <v>64</v>
      </c>
      <c r="DY12" s="256">
        <v>1854.91</v>
      </c>
      <c r="DZ12" s="257">
        <v>0.25</v>
      </c>
      <c r="EA12" s="1506" t="s">
        <v>60</v>
      </c>
      <c r="EB12" s="1457"/>
      <c r="EC12" s="257">
        <v>0.2</v>
      </c>
      <c r="ED12" s="226" t="s">
        <v>63</v>
      </c>
      <c r="EE12" s="177">
        <v>20</v>
      </c>
      <c r="EF12" s="227">
        <v>0</v>
      </c>
      <c r="EG12" s="227">
        <v>0</v>
      </c>
      <c r="EH12" s="258">
        <v>22</v>
      </c>
      <c r="EI12" s="258">
        <v>22</v>
      </c>
      <c r="EJ12" s="173" t="s">
        <v>47</v>
      </c>
      <c r="EK12" s="258"/>
      <c r="EL12" s="258" t="s">
        <v>47</v>
      </c>
      <c r="EM12" s="254">
        <v>0</v>
      </c>
      <c r="EN12" s="255" t="s">
        <v>53</v>
      </c>
      <c r="EO12" s="173" t="s">
        <v>64</v>
      </c>
      <c r="EP12" s="256">
        <v>2925.11</v>
      </c>
      <c r="EQ12" s="257">
        <v>0.25</v>
      </c>
      <c r="ER12" s="1506" t="s">
        <v>60</v>
      </c>
      <c r="ES12" s="1457"/>
      <c r="ET12" s="257">
        <v>0.2</v>
      </c>
      <c r="EU12" s="226" t="s">
        <v>63</v>
      </c>
      <c r="EV12" s="177">
        <v>44</v>
      </c>
      <c r="EW12" s="227">
        <v>0</v>
      </c>
      <c r="EX12" s="227">
        <v>0</v>
      </c>
      <c r="EY12" s="258">
        <v>22</v>
      </c>
      <c r="EZ12" s="258">
        <v>22</v>
      </c>
      <c r="FA12" s="173" t="s">
        <v>47</v>
      </c>
      <c r="FB12" s="258"/>
      <c r="FC12" s="258" t="s">
        <v>47</v>
      </c>
      <c r="FD12" s="254">
        <v>0</v>
      </c>
      <c r="FE12" s="255" t="s">
        <v>53</v>
      </c>
      <c r="FF12" s="173" t="s">
        <v>64</v>
      </c>
      <c r="FG12" s="256">
        <v>1741.45</v>
      </c>
      <c r="FH12" s="257">
        <v>0.25</v>
      </c>
      <c r="FI12" s="1506" t="s">
        <v>60</v>
      </c>
      <c r="FJ12" s="1457"/>
      <c r="FK12" s="257">
        <v>0.2</v>
      </c>
      <c r="FL12" s="226" t="s">
        <v>65</v>
      </c>
      <c r="FM12" s="177">
        <v>44</v>
      </c>
      <c r="FN12" s="227">
        <f t="shared" ref="FN12:FN17" si="4">IFERROR((52/(IF(FE12="S",FD12+(IF(Y12="S",X12,0))+(IF(AS12="S",AR12,0)),0)))/12,0)</f>
        <v>0</v>
      </c>
      <c r="FO12" s="227">
        <f t="shared" ref="FO12:FO13" si="5">IFERROR(((52+12)/(IF(FE12="S",FD12+(IF(Y12="S",X12,0))+(IF(AS12="S",AR12,0)),0)))/12,0)</f>
        <v>0</v>
      </c>
      <c r="FP12" s="258">
        <v>9</v>
      </c>
      <c r="FQ12" s="258"/>
      <c r="FR12" s="173" t="s">
        <v>47</v>
      </c>
      <c r="FS12" s="258"/>
      <c r="FT12" s="258"/>
      <c r="FU12" s="254">
        <v>0</v>
      </c>
      <c r="FV12" s="255" t="s">
        <v>53</v>
      </c>
      <c r="FW12" s="173" t="s">
        <v>66</v>
      </c>
      <c r="FX12" s="256">
        <v>0</v>
      </c>
      <c r="FY12" s="257">
        <v>0.25</v>
      </c>
      <c r="FZ12" s="1506" t="s">
        <v>60</v>
      </c>
      <c r="GA12" s="1457"/>
      <c r="GB12" s="257">
        <v>0.2</v>
      </c>
      <c r="GC12" s="226" t="s">
        <v>63</v>
      </c>
      <c r="GD12" s="177">
        <v>44</v>
      </c>
      <c r="GE12" s="227">
        <f t="shared" ref="GE12:GE17" si="6">IFERROR((52/(IF(FV12="S",FU12+(IF(Y12="S",X12,0))+(IF(AS12="S",AR12,0)),0)))/12,0)</f>
        <v>0</v>
      </c>
      <c r="GF12" s="227">
        <f t="shared" ref="GF12:GF13" si="7">IFERROR(((52+12)/(IF(FV12="S",FU12+(IF(Y12="S",X12,0))+(IF(AS12="S",AR12,0)),0)))/12,0)</f>
        <v>0</v>
      </c>
      <c r="GG12" s="258">
        <v>0</v>
      </c>
      <c r="GH12" s="258"/>
      <c r="GI12" s="173" t="s">
        <v>47</v>
      </c>
      <c r="GJ12" s="258"/>
      <c r="GK12" s="258"/>
      <c r="GL12" s="254">
        <v>0</v>
      </c>
      <c r="GM12" s="255" t="s">
        <v>53</v>
      </c>
      <c r="GN12" s="173" t="s">
        <v>66</v>
      </c>
      <c r="GO12" s="256">
        <v>0</v>
      </c>
      <c r="GP12" s="257">
        <v>0.25</v>
      </c>
      <c r="GQ12" s="1506" t="s">
        <v>60</v>
      </c>
      <c r="GR12" s="1457"/>
      <c r="GS12" s="257">
        <v>0.2</v>
      </c>
      <c r="GT12" s="226" t="s">
        <v>63</v>
      </c>
      <c r="GU12" s="177">
        <v>44</v>
      </c>
      <c r="GV12" s="227">
        <f t="shared" ref="GV12:GV17" si="8">IFERROR((52/(IF(GM12="S",GL12+(IF(Y12="S",X12,0))+(IF(AS12="S",AR12,0)),0)))/12,0)</f>
        <v>0</v>
      </c>
      <c r="GW12" s="227">
        <f t="shared" ref="GW12:GW13" si="9">IFERROR(((52+12)/(IF(GM12="S",GL12+(IF(Y12="S",X12,0))+(IF(AS12="S",AR12,0)),0)))/12,0)</f>
        <v>0</v>
      </c>
      <c r="GX12" s="258">
        <v>0</v>
      </c>
      <c r="GY12" s="258"/>
      <c r="GZ12" s="173" t="s">
        <v>47</v>
      </c>
      <c r="HA12" s="258"/>
      <c r="HB12" s="258"/>
      <c r="HC12" s="181">
        <f t="shared" si="3"/>
        <v>9</v>
      </c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183">
        <f t="shared" ref="HN12:HN17" si="10">G12+X12+AO12+BF12+BW12+CN12+DE12+DV12+EM12+FD12+FU12+GL12</f>
        <v>9</v>
      </c>
    </row>
    <row r="13" spans="1:222" ht="22.5" customHeight="1">
      <c r="A13" s="13"/>
      <c r="B13" s="229">
        <v>154628</v>
      </c>
      <c r="C13" s="229" t="s">
        <v>71</v>
      </c>
      <c r="D13" s="230" t="s">
        <v>72</v>
      </c>
      <c r="E13" s="259">
        <v>8</v>
      </c>
      <c r="F13" s="231">
        <v>5</v>
      </c>
      <c r="G13" s="232">
        <v>1</v>
      </c>
      <c r="H13" s="233" t="s">
        <v>53</v>
      </c>
      <c r="I13" s="115" t="s">
        <v>59</v>
      </c>
      <c r="J13" s="116">
        <v>2161.0500000000002</v>
      </c>
      <c r="K13" s="188">
        <v>0.2</v>
      </c>
      <c r="L13" s="1516" t="s">
        <v>60</v>
      </c>
      <c r="M13" s="1457"/>
      <c r="N13" s="118">
        <v>0.4</v>
      </c>
      <c r="O13" s="119" t="s">
        <v>61</v>
      </c>
      <c r="P13" s="189">
        <v>40</v>
      </c>
      <c r="Q13" s="190">
        <v>0</v>
      </c>
      <c r="R13" s="190">
        <v>0</v>
      </c>
      <c r="S13" s="234">
        <v>20.5</v>
      </c>
      <c r="T13" s="234">
        <v>20.5</v>
      </c>
      <c r="U13" s="123" t="s">
        <v>53</v>
      </c>
      <c r="V13" s="235">
        <v>0</v>
      </c>
      <c r="W13" s="125" t="s">
        <v>53</v>
      </c>
      <c r="X13" s="236"/>
      <c r="Y13" s="237" t="s">
        <v>53</v>
      </c>
      <c r="Z13" s="195" t="s">
        <v>59</v>
      </c>
      <c r="AA13" s="129">
        <v>2161.0500000000002</v>
      </c>
      <c r="AB13" s="238">
        <v>0.25</v>
      </c>
      <c r="AC13" s="1515" t="s">
        <v>60</v>
      </c>
      <c r="AD13" s="1457"/>
      <c r="AE13" s="130">
        <v>0.4</v>
      </c>
      <c r="AF13" s="131" t="s">
        <v>61</v>
      </c>
      <c r="AG13" s="132">
        <v>44</v>
      </c>
      <c r="AH13" s="196">
        <v>0</v>
      </c>
      <c r="AI13" s="196">
        <v>0</v>
      </c>
      <c r="AJ13" s="239">
        <v>20.5</v>
      </c>
      <c r="AK13" s="239">
        <v>20.5</v>
      </c>
      <c r="AL13" s="135" t="s">
        <v>53</v>
      </c>
      <c r="AM13" s="240">
        <v>0</v>
      </c>
      <c r="AN13" s="137" t="s">
        <v>53</v>
      </c>
      <c r="AO13" s="260">
        <v>1</v>
      </c>
      <c r="AP13" s="242" t="s">
        <v>53</v>
      </c>
      <c r="AQ13" s="140" t="s">
        <v>62</v>
      </c>
      <c r="AR13" s="141">
        <v>2190.98</v>
      </c>
      <c r="AS13" s="117">
        <v>0.25</v>
      </c>
      <c r="AT13" s="1507" t="s">
        <v>60</v>
      </c>
      <c r="AU13" s="1457"/>
      <c r="AV13" s="243">
        <v>0.2</v>
      </c>
      <c r="AW13" s="119" t="s">
        <v>61</v>
      </c>
      <c r="AX13" s="142">
        <v>44</v>
      </c>
      <c r="AY13" s="190">
        <v>0</v>
      </c>
      <c r="AZ13" s="190">
        <v>0</v>
      </c>
      <c r="BA13" s="234">
        <v>20.5</v>
      </c>
      <c r="BB13" s="234">
        <v>20.5</v>
      </c>
      <c r="BC13" s="123" t="s">
        <v>53</v>
      </c>
      <c r="BD13" s="140">
        <v>1</v>
      </c>
      <c r="BE13" s="125" t="s">
        <v>53</v>
      </c>
      <c r="BF13" s="244"/>
      <c r="BG13" s="245" t="s">
        <v>53</v>
      </c>
      <c r="BH13" s="146" t="s">
        <v>62</v>
      </c>
      <c r="BI13" s="147">
        <v>2190.98</v>
      </c>
      <c r="BJ13" s="246">
        <v>0.25</v>
      </c>
      <c r="BK13" s="1500" t="s">
        <v>60</v>
      </c>
      <c r="BL13" s="1457"/>
      <c r="BM13" s="246">
        <v>0.2</v>
      </c>
      <c r="BN13" s="149" t="s">
        <v>61</v>
      </c>
      <c r="BO13" s="150">
        <v>40</v>
      </c>
      <c r="BP13" s="207">
        <v>0</v>
      </c>
      <c r="BQ13" s="207">
        <v>0</v>
      </c>
      <c r="BR13" s="247">
        <v>20.5</v>
      </c>
      <c r="BS13" s="247">
        <v>20.5</v>
      </c>
      <c r="BT13" s="146" t="s">
        <v>47</v>
      </c>
      <c r="BU13" s="247"/>
      <c r="BV13" s="153" t="s">
        <v>53</v>
      </c>
      <c r="BW13" s="248">
        <v>1</v>
      </c>
      <c r="BX13" s="249" t="s">
        <v>53</v>
      </c>
      <c r="BY13" s="140" t="s">
        <v>62</v>
      </c>
      <c r="BZ13" s="155">
        <v>5637.96</v>
      </c>
      <c r="CA13" s="243">
        <v>0.25</v>
      </c>
      <c r="CB13" s="1499" t="s">
        <v>60</v>
      </c>
      <c r="CC13" s="1457"/>
      <c r="CD13" s="243">
        <v>0.2</v>
      </c>
      <c r="CE13" s="212" t="s">
        <v>63</v>
      </c>
      <c r="CF13" s="156">
        <v>44</v>
      </c>
      <c r="CG13" s="213">
        <v>0</v>
      </c>
      <c r="CH13" s="213">
        <v>0</v>
      </c>
      <c r="CI13" s="143">
        <v>20.5</v>
      </c>
      <c r="CJ13" s="143">
        <v>20.5</v>
      </c>
      <c r="CK13" s="140" t="s">
        <v>53</v>
      </c>
      <c r="CL13" s="143"/>
      <c r="CM13" s="158" t="s">
        <v>53</v>
      </c>
      <c r="CN13" s="250"/>
      <c r="CO13" s="251" t="s">
        <v>53</v>
      </c>
      <c r="CP13" s="161" t="s">
        <v>62</v>
      </c>
      <c r="CQ13" s="162">
        <v>5637.96</v>
      </c>
      <c r="CR13" s="252">
        <v>0.25</v>
      </c>
      <c r="CS13" s="1498" t="s">
        <v>60</v>
      </c>
      <c r="CT13" s="1457"/>
      <c r="CU13" s="252">
        <v>0.2</v>
      </c>
      <c r="CV13" s="218" t="s">
        <v>63</v>
      </c>
      <c r="CW13" s="165">
        <v>44</v>
      </c>
      <c r="CX13" s="219">
        <v>0</v>
      </c>
      <c r="CY13" s="219">
        <v>0</v>
      </c>
      <c r="CZ13" s="253">
        <v>20.5</v>
      </c>
      <c r="DA13" s="253">
        <v>20.5</v>
      </c>
      <c r="DB13" s="167" t="s">
        <v>53</v>
      </c>
      <c r="DC13" s="253"/>
      <c r="DD13" s="168" t="s">
        <v>53</v>
      </c>
      <c r="DE13" s="248">
        <v>1</v>
      </c>
      <c r="DF13" s="249" t="s">
        <v>53</v>
      </c>
      <c r="DG13" s="169" t="s">
        <v>59</v>
      </c>
      <c r="DH13" s="155">
        <v>2161.0500000000002</v>
      </c>
      <c r="DI13" s="243">
        <v>0.25</v>
      </c>
      <c r="DJ13" s="1505" t="s">
        <v>60</v>
      </c>
      <c r="DK13" s="1457"/>
      <c r="DL13" s="243">
        <v>0.2</v>
      </c>
      <c r="DM13" s="119" t="s">
        <v>61</v>
      </c>
      <c r="DN13" s="170">
        <v>40</v>
      </c>
      <c r="DO13" s="213">
        <v>0</v>
      </c>
      <c r="DP13" s="213">
        <v>0</v>
      </c>
      <c r="DQ13" s="143">
        <v>20.5</v>
      </c>
      <c r="DR13" s="143">
        <v>20.5</v>
      </c>
      <c r="DS13" s="140" t="s">
        <v>53</v>
      </c>
      <c r="DT13" s="143"/>
      <c r="DU13" s="158" t="s">
        <v>53</v>
      </c>
      <c r="DV13" s="254">
        <v>0</v>
      </c>
      <c r="DW13" s="255" t="s">
        <v>53</v>
      </c>
      <c r="DX13" s="173" t="s">
        <v>64</v>
      </c>
      <c r="DY13" s="256">
        <v>1854.91</v>
      </c>
      <c r="DZ13" s="257">
        <v>0.25</v>
      </c>
      <c r="EA13" s="1506" t="s">
        <v>60</v>
      </c>
      <c r="EB13" s="1457"/>
      <c r="EC13" s="257">
        <v>0.2</v>
      </c>
      <c r="ED13" s="226" t="s">
        <v>63</v>
      </c>
      <c r="EE13" s="177">
        <v>20</v>
      </c>
      <c r="EF13" s="227">
        <v>0</v>
      </c>
      <c r="EG13" s="227">
        <v>0</v>
      </c>
      <c r="EH13" s="258">
        <v>22</v>
      </c>
      <c r="EI13" s="258">
        <v>22</v>
      </c>
      <c r="EJ13" s="173" t="s">
        <v>47</v>
      </c>
      <c r="EK13" s="258"/>
      <c r="EL13" s="258" t="s">
        <v>47</v>
      </c>
      <c r="EM13" s="254">
        <v>0</v>
      </c>
      <c r="EN13" s="255" t="s">
        <v>53</v>
      </c>
      <c r="EO13" s="173" t="s">
        <v>64</v>
      </c>
      <c r="EP13" s="256">
        <v>3017.67</v>
      </c>
      <c r="EQ13" s="257">
        <v>0.25</v>
      </c>
      <c r="ER13" s="1506" t="s">
        <v>60</v>
      </c>
      <c r="ES13" s="1457"/>
      <c r="ET13" s="257">
        <v>0.2</v>
      </c>
      <c r="EU13" s="226" t="s">
        <v>63</v>
      </c>
      <c r="EV13" s="177">
        <v>44</v>
      </c>
      <c r="EW13" s="227">
        <v>0</v>
      </c>
      <c r="EX13" s="227">
        <v>0</v>
      </c>
      <c r="EY13" s="258">
        <v>22</v>
      </c>
      <c r="EZ13" s="258">
        <v>22</v>
      </c>
      <c r="FA13" s="173" t="s">
        <v>47</v>
      </c>
      <c r="FB13" s="258"/>
      <c r="FC13" s="258" t="s">
        <v>47</v>
      </c>
      <c r="FD13" s="254">
        <v>0</v>
      </c>
      <c r="FE13" s="255" t="s">
        <v>53</v>
      </c>
      <c r="FF13" s="173" t="s">
        <v>64</v>
      </c>
      <c r="FG13" s="256">
        <v>1741.45</v>
      </c>
      <c r="FH13" s="257">
        <v>0.25</v>
      </c>
      <c r="FI13" s="1506" t="s">
        <v>60</v>
      </c>
      <c r="FJ13" s="1457"/>
      <c r="FK13" s="257">
        <v>0.2</v>
      </c>
      <c r="FL13" s="226" t="s">
        <v>65</v>
      </c>
      <c r="FM13" s="177">
        <v>44</v>
      </c>
      <c r="FN13" s="227">
        <f t="shared" si="4"/>
        <v>0</v>
      </c>
      <c r="FO13" s="227">
        <f t="shared" si="5"/>
        <v>0</v>
      </c>
      <c r="FP13" s="258">
        <v>9</v>
      </c>
      <c r="FQ13" s="258"/>
      <c r="FR13" s="173" t="s">
        <v>47</v>
      </c>
      <c r="FS13" s="258"/>
      <c r="FT13" s="258"/>
      <c r="FU13" s="254">
        <v>0</v>
      </c>
      <c r="FV13" s="255" t="s">
        <v>53</v>
      </c>
      <c r="FW13" s="173" t="s">
        <v>66</v>
      </c>
      <c r="FX13" s="256">
        <v>0</v>
      </c>
      <c r="FY13" s="257">
        <v>0.25</v>
      </c>
      <c r="FZ13" s="1506" t="s">
        <v>60</v>
      </c>
      <c r="GA13" s="1457"/>
      <c r="GB13" s="257">
        <v>0.2</v>
      </c>
      <c r="GC13" s="226" t="s">
        <v>63</v>
      </c>
      <c r="GD13" s="177">
        <v>44</v>
      </c>
      <c r="GE13" s="227">
        <f t="shared" si="6"/>
        <v>0</v>
      </c>
      <c r="GF13" s="227">
        <f t="shared" si="7"/>
        <v>0</v>
      </c>
      <c r="GG13" s="258">
        <v>0</v>
      </c>
      <c r="GH13" s="258"/>
      <c r="GI13" s="173" t="s">
        <v>47</v>
      </c>
      <c r="GJ13" s="258"/>
      <c r="GK13" s="258"/>
      <c r="GL13" s="254">
        <v>0</v>
      </c>
      <c r="GM13" s="255" t="s">
        <v>53</v>
      </c>
      <c r="GN13" s="173" t="s">
        <v>66</v>
      </c>
      <c r="GO13" s="256">
        <v>0</v>
      </c>
      <c r="GP13" s="257">
        <v>0.25</v>
      </c>
      <c r="GQ13" s="1506" t="s">
        <v>60</v>
      </c>
      <c r="GR13" s="1457"/>
      <c r="GS13" s="257">
        <v>0.2</v>
      </c>
      <c r="GT13" s="226" t="s">
        <v>63</v>
      </c>
      <c r="GU13" s="177">
        <v>44</v>
      </c>
      <c r="GV13" s="227">
        <f t="shared" si="8"/>
        <v>0</v>
      </c>
      <c r="GW13" s="227">
        <f t="shared" si="9"/>
        <v>0</v>
      </c>
      <c r="GX13" s="258">
        <v>0</v>
      </c>
      <c r="GY13" s="258"/>
      <c r="GZ13" s="173" t="s">
        <v>47</v>
      </c>
      <c r="HA13" s="258"/>
      <c r="HB13" s="258"/>
      <c r="HC13" s="181">
        <f t="shared" si="3"/>
        <v>4</v>
      </c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183">
        <f t="shared" si="10"/>
        <v>4</v>
      </c>
    </row>
    <row r="14" spans="1:222" ht="22.5" customHeight="1">
      <c r="A14" s="108"/>
      <c r="B14" s="229">
        <v>158269</v>
      </c>
      <c r="C14" s="229" t="s">
        <v>73</v>
      </c>
      <c r="D14" s="230" t="s">
        <v>74</v>
      </c>
      <c r="E14" s="259">
        <v>5</v>
      </c>
      <c r="F14" s="231">
        <v>4</v>
      </c>
      <c r="G14" s="232"/>
      <c r="H14" s="233" t="s">
        <v>53</v>
      </c>
      <c r="I14" s="115" t="s">
        <v>59</v>
      </c>
      <c r="J14" s="116">
        <v>2161.0500000000002</v>
      </c>
      <c r="K14" s="188">
        <v>0.2</v>
      </c>
      <c r="L14" s="1516" t="s">
        <v>60</v>
      </c>
      <c r="M14" s="1457"/>
      <c r="N14" s="118">
        <v>0.4</v>
      </c>
      <c r="O14" s="119" t="s">
        <v>61</v>
      </c>
      <c r="P14" s="189">
        <v>40</v>
      </c>
      <c r="Q14" s="261">
        <v>0</v>
      </c>
      <c r="R14" s="261">
        <v>0</v>
      </c>
      <c r="S14" s="234">
        <v>20.5</v>
      </c>
      <c r="T14" s="234">
        <v>20.5</v>
      </c>
      <c r="U14" s="123" t="s">
        <v>53</v>
      </c>
      <c r="V14" s="262">
        <v>0</v>
      </c>
      <c r="W14" s="125" t="s">
        <v>53</v>
      </c>
      <c r="X14" s="236">
        <v>1</v>
      </c>
      <c r="Y14" s="263" t="s">
        <v>53</v>
      </c>
      <c r="Z14" s="195" t="s">
        <v>59</v>
      </c>
      <c r="AA14" s="129">
        <v>2161.0500000000002</v>
      </c>
      <c r="AB14" s="238">
        <v>0.25</v>
      </c>
      <c r="AC14" s="1515" t="s">
        <v>60</v>
      </c>
      <c r="AD14" s="1457"/>
      <c r="AE14" s="130">
        <v>0.4</v>
      </c>
      <c r="AF14" s="131" t="s">
        <v>61</v>
      </c>
      <c r="AG14" s="132">
        <v>44</v>
      </c>
      <c r="AH14" s="264">
        <v>0</v>
      </c>
      <c r="AI14" s="264">
        <v>0</v>
      </c>
      <c r="AJ14" s="239">
        <v>20.5</v>
      </c>
      <c r="AK14" s="239">
        <v>20.5</v>
      </c>
      <c r="AL14" s="135" t="s">
        <v>53</v>
      </c>
      <c r="AM14" s="240">
        <v>0</v>
      </c>
      <c r="AN14" s="137" t="s">
        <v>53</v>
      </c>
      <c r="AO14" s="241">
        <v>3</v>
      </c>
      <c r="AP14" s="242" t="s">
        <v>53</v>
      </c>
      <c r="AQ14" s="140" t="s">
        <v>62</v>
      </c>
      <c r="AR14" s="141">
        <v>2190.98</v>
      </c>
      <c r="AS14" s="117">
        <v>0.25</v>
      </c>
      <c r="AT14" s="1507" t="s">
        <v>60</v>
      </c>
      <c r="AU14" s="1457"/>
      <c r="AV14" s="243">
        <v>0.2</v>
      </c>
      <c r="AW14" s="119" t="s">
        <v>61</v>
      </c>
      <c r="AX14" s="142">
        <v>44</v>
      </c>
      <c r="AY14" s="261">
        <v>0</v>
      </c>
      <c r="AZ14" s="261">
        <v>0</v>
      </c>
      <c r="BA14" s="234">
        <v>20.5</v>
      </c>
      <c r="BB14" s="234">
        <v>20.5</v>
      </c>
      <c r="BC14" s="123" t="s">
        <v>53</v>
      </c>
      <c r="BD14" s="140">
        <v>1</v>
      </c>
      <c r="BE14" s="125" t="s">
        <v>53</v>
      </c>
      <c r="BF14" s="244"/>
      <c r="BG14" s="245" t="s">
        <v>53</v>
      </c>
      <c r="BH14" s="146" t="s">
        <v>62</v>
      </c>
      <c r="BI14" s="147">
        <v>2190.98</v>
      </c>
      <c r="BJ14" s="265">
        <v>0.25</v>
      </c>
      <c r="BK14" s="1500" t="s">
        <v>60</v>
      </c>
      <c r="BL14" s="1457"/>
      <c r="BM14" s="265">
        <v>0.2</v>
      </c>
      <c r="BN14" s="149" t="s">
        <v>61</v>
      </c>
      <c r="BO14" s="150">
        <v>40</v>
      </c>
      <c r="BP14" s="151">
        <v>0</v>
      </c>
      <c r="BQ14" s="151">
        <v>0</v>
      </c>
      <c r="BR14" s="266">
        <v>20.5</v>
      </c>
      <c r="BS14" s="266">
        <v>20.5</v>
      </c>
      <c r="BT14" s="146" t="s">
        <v>47</v>
      </c>
      <c r="BU14" s="266"/>
      <c r="BV14" s="153" t="s">
        <v>53</v>
      </c>
      <c r="BW14" s="248">
        <v>1</v>
      </c>
      <c r="BX14" s="249" t="s">
        <v>53</v>
      </c>
      <c r="BY14" s="140" t="s">
        <v>62</v>
      </c>
      <c r="BZ14" s="155">
        <v>5637.96</v>
      </c>
      <c r="CA14" s="267">
        <v>0.25</v>
      </c>
      <c r="CB14" s="1499" t="s">
        <v>60</v>
      </c>
      <c r="CC14" s="1457"/>
      <c r="CD14" s="267">
        <v>0.2</v>
      </c>
      <c r="CE14" s="212" t="s">
        <v>63</v>
      </c>
      <c r="CF14" s="156">
        <v>44</v>
      </c>
      <c r="CG14" s="157">
        <v>0</v>
      </c>
      <c r="CH14" s="157">
        <v>0</v>
      </c>
      <c r="CI14" s="268">
        <v>20.5</v>
      </c>
      <c r="CJ14" s="268">
        <v>20.5</v>
      </c>
      <c r="CK14" s="140" t="s">
        <v>53</v>
      </c>
      <c r="CL14" s="268"/>
      <c r="CM14" s="158" t="s">
        <v>53</v>
      </c>
      <c r="CN14" s="250"/>
      <c r="CO14" s="251" t="s">
        <v>53</v>
      </c>
      <c r="CP14" s="161" t="s">
        <v>62</v>
      </c>
      <c r="CQ14" s="162">
        <v>5637.96</v>
      </c>
      <c r="CR14" s="269">
        <v>0.25</v>
      </c>
      <c r="CS14" s="1498" t="s">
        <v>60</v>
      </c>
      <c r="CT14" s="1457"/>
      <c r="CU14" s="269">
        <v>0.2</v>
      </c>
      <c r="CV14" s="218" t="s">
        <v>63</v>
      </c>
      <c r="CW14" s="165">
        <v>44</v>
      </c>
      <c r="CX14" s="166">
        <v>0</v>
      </c>
      <c r="CY14" s="166">
        <v>0</v>
      </c>
      <c r="CZ14" s="270">
        <v>20.5</v>
      </c>
      <c r="DA14" s="270">
        <v>20.5</v>
      </c>
      <c r="DB14" s="167" t="s">
        <v>53</v>
      </c>
      <c r="DC14" s="270"/>
      <c r="DD14" s="168" t="s">
        <v>53</v>
      </c>
      <c r="DE14" s="248"/>
      <c r="DF14" s="249" t="s">
        <v>53</v>
      </c>
      <c r="DG14" s="169" t="s">
        <v>59</v>
      </c>
      <c r="DH14" s="155">
        <v>2161.0500000000002</v>
      </c>
      <c r="DI14" s="267">
        <v>0.25</v>
      </c>
      <c r="DJ14" s="1505" t="s">
        <v>60</v>
      </c>
      <c r="DK14" s="1457"/>
      <c r="DL14" s="267">
        <v>0.2</v>
      </c>
      <c r="DM14" s="119" t="s">
        <v>61</v>
      </c>
      <c r="DN14" s="170">
        <v>40</v>
      </c>
      <c r="DO14" s="157">
        <v>0</v>
      </c>
      <c r="DP14" s="157">
        <v>0</v>
      </c>
      <c r="DQ14" s="268">
        <v>20.5</v>
      </c>
      <c r="DR14" s="268">
        <v>20.5</v>
      </c>
      <c r="DS14" s="140" t="s">
        <v>53</v>
      </c>
      <c r="DT14" s="268"/>
      <c r="DU14" s="158" t="s">
        <v>53</v>
      </c>
      <c r="DV14" s="254">
        <v>0</v>
      </c>
      <c r="DW14" s="255" t="s">
        <v>53</v>
      </c>
      <c r="DX14" s="173" t="s">
        <v>64</v>
      </c>
      <c r="DY14" s="271">
        <v>1854.91</v>
      </c>
      <c r="DZ14" s="272">
        <v>0.25</v>
      </c>
      <c r="EA14" s="1506" t="s">
        <v>60</v>
      </c>
      <c r="EB14" s="1457"/>
      <c r="EC14" s="272">
        <v>0.2</v>
      </c>
      <c r="ED14" s="226" t="s">
        <v>63</v>
      </c>
      <c r="EE14" s="177">
        <v>20</v>
      </c>
      <c r="EF14" s="178">
        <v>0</v>
      </c>
      <c r="EG14" s="178">
        <v>0</v>
      </c>
      <c r="EH14" s="273">
        <v>22</v>
      </c>
      <c r="EI14" s="273">
        <v>22</v>
      </c>
      <c r="EJ14" s="173" t="s">
        <v>47</v>
      </c>
      <c r="EK14" s="273"/>
      <c r="EL14" s="273" t="s">
        <v>47</v>
      </c>
      <c r="EM14" s="254">
        <v>0</v>
      </c>
      <c r="EN14" s="255" t="s">
        <v>53</v>
      </c>
      <c r="EO14" s="173" t="s">
        <v>64</v>
      </c>
      <c r="EP14" s="271">
        <v>2925.11</v>
      </c>
      <c r="EQ14" s="272">
        <v>0.25</v>
      </c>
      <c r="ER14" s="1506" t="s">
        <v>60</v>
      </c>
      <c r="ES14" s="1457"/>
      <c r="ET14" s="272">
        <v>0.2</v>
      </c>
      <c r="EU14" s="226" t="s">
        <v>63</v>
      </c>
      <c r="EV14" s="177">
        <v>44</v>
      </c>
      <c r="EW14" s="178">
        <v>0</v>
      </c>
      <c r="EX14" s="178">
        <v>0</v>
      </c>
      <c r="EY14" s="273">
        <v>22</v>
      </c>
      <c r="EZ14" s="273">
        <v>22</v>
      </c>
      <c r="FA14" s="173" t="s">
        <v>47</v>
      </c>
      <c r="FB14" s="273"/>
      <c r="FC14" s="273" t="s">
        <v>47</v>
      </c>
      <c r="FD14" s="254">
        <v>0</v>
      </c>
      <c r="FE14" s="255" t="s">
        <v>53</v>
      </c>
      <c r="FF14" s="173" t="s">
        <v>64</v>
      </c>
      <c r="FG14" s="271">
        <v>1741.45</v>
      </c>
      <c r="FH14" s="272">
        <v>0.25</v>
      </c>
      <c r="FI14" s="1506" t="s">
        <v>60</v>
      </c>
      <c r="FJ14" s="1457"/>
      <c r="FK14" s="272">
        <v>0.2</v>
      </c>
      <c r="FL14" s="226" t="s">
        <v>65</v>
      </c>
      <c r="FM14" s="177">
        <v>44</v>
      </c>
      <c r="FN14" s="178">
        <f t="shared" si="4"/>
        <v>0</v>
      </c>
      <c r="FO14" s="178">
        <f>IFERROR(((52+12)/(IF(AP14="S",AO14+(IF(H14="S",G14,0))+(IF(Y14="S",X14,0)),0)))/12,0)</f>
        <v>0</v>
      </c>
      <c r="FP14" s="273">
        <v>25</v>
      </c>
      <c r="FQ14" s="273"/>
      <c r="FR14" s="173" t="s">
        <v>47</v>
      </c>
      <c r="FS14" s="273"/>
      <c r="FT14" s="273"/>
      <c r="FU14" s="254">
        <v>0</v>
      </c>
      <c r="FV14" s="255" t="s">
        <v>53</v>
      </c>
      <c r="FW14" s="173" t="s">
        <v>66</v>
      </c>
      <c r="FX14" s="271">
        <v>0</v>
      </c>
      <c r="FY14" s="272">
        <v>0.25</v>
      </c>
      <c r="FZ14" s="1506" t="s">
        <v>60</v>
      </c>
      <c r="GA14" s="1457"/>
      <c r="GB14" s="272">
        <v>0.2</v>
      </c>
      <c r="GC14" s="226" t="s">
        <v>63</v>
      </c>
      <c r="GD14" s="177">
        <v>44</v>
      </c>
      <c r="GE14" s="178">
        <f t="shared" si="6"/>
        <v>0</v>
      </c>
      <c r="GF14" s="178">
        <f>IFERROR(((52+12)/(IF(AP14="S",AO14+(IF(H14="S",G14,0))+(IF(Y14="S",X14,0)),0)))/12,0)</f>
        <v>0</v>
      </c>
      <c r="GG14" s="273">
        <v>0</v>
      </c>
      <c r="GH14" s="273">
        <v>0</v>
      </c>
      <c r="GI14" s="173" t="s">
        <v>47</v>
      </c>
      <c r="GJ14" s="273"/>
      <c r="GK14" s="273"/>
      <c r="GL14" s="254">
        <v>0</v>
      </c>
      <c r="GM14" s="255" t="s">
        <v>53</v>
      </c>
      <c r="GN14" s="173" t="s">
        <v>66</v>
      </c>
      <c r="GO14" s="271">
        <v>0</v>
      </c>
      <c r="GP14" s="272">
        <v>0.25</v>
      </c>
      <c r="GQ14" s="1506" t="s">
        <v>60</v>
      </c>
      <c r="GR14" s="1457"/>
      <c r="GS14" s="272">
        <v>0.2</v>
      </c>
      <c r="GT14" s="226" t="s">
        <v>63</v>
      </c>
      <c r="GU14" s="177">
        <v>44</v>
      </c>
      <c r="GV14" s="178">
        <f t="shared" si="8"/>
        <v>0</v>
      </c>
      <c r="GW14" s="178">
        <f>IFERROR(((52+12)/(IF(AP14="S",AO14+(IF(H14="S",G14,0))+(IF(Y14="S",X14,0)),0)))/12,0)</f>
        <v>0</v>
      </c>
      <c r="GX14" s="273">
        <v>0</v>
      </c>
      <c r="GY14" s="273">
        <v>0</v>
      </c>
      <c r="GZ14" s="173" t="s">
        <v>47</v>
      </c>
      <c r="HA14" s="273"/>
      <c r="HB14" s="273"/>
      <c r="HC14" s="181">
        <f t="shared" si="3"/>
        <v>5</v>
      </c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3">
        <f t="shared" si="10"/>
        <v>5</v>
      </c>
    </row>
    <row r="15" spans="1:222" ht="22.5" customHeight="1">
      <c r="A15" s="108"/>
      <c r="B15" s="229">
        <v>158505</v>
      </c>
      <c r="C15" s="229" t="s">
        <v>75</v>
      </c>
      <c r="D15" s="230" t="s">
        <v>76</v>
      </c>
      <c r="E15" s="184">
        <v>6.82</v>
      </c>
      <c r="F15" s="231">
        <v>2</v>
      </c>
      <c r="G15" s="232"/>
      <c r="H15" s="233" t="s">
        <v>53</v>
      </c>
      <c r="I15" s="115" t="s">
        <v>59</v>
      </c>
      <c r="J15" s="116">
        <v>2161.0500000000002</v>
      </c>
      <c r="K15" s="188">
        <v>0.2</v>
      </c>
      <c r="L15" s="1516" t="s">
        <v>60</v>
      </c>
      <c r="M15" s="1457"/>
      <c r="N15" s="118">
        <v>0.4</v>
      </c>
      <c r="O15" s="119" t="s">
        <v>61</v>
      </c>
      <c r="P15" s="189">
        <v>40</v>
      </c>
      <c r="Q15" s="261">
        <v>0</v>
      </c>
      <c r="R15" s="261">
        <v>0</v>
      </c>
      <c r="S15" s="234">
        <v>20.5</v>
      </c>
      <c r="T15" s="234">
        <v>20.5</v>
      </c>
      <c r="U15" s="123" t="s">
        <v>53</v>
      </c>
      <c r="V15" s="262">
        <v>0</v>
      </c>
      <c r="W15" s="125" t="s">
        <v>53</v>
      </c>
      <c r="X15" s="236"/>
      <c r="Y15" s="263" t="s">
        <v>53</v>
      </c>
      <c r="Z15" s="195" t="s">
        <v>59</v>
      </c>
      <c r="AA15" s="129">
        <v>2161.0500000000002</v>
      </c>
      <c r="AB15" s="238">
        <v>0.25</v>
      </c>
      <c r="AC15" s="1515" t="s">
        <v>60</v>
      </c>
      <c r="AD15" s="1457"/>
      <c r="AE15" s="130">
        <v>0.4</v>
      </c>
      <c r="AF15" s="131" t="s">
        <v>61</v>
      </c>
      <c r="AG15" s="132">
        <v>44</v>
      </c>
      <c r="AH15" s="264">
        <v>0</v>
      </c>
      <c r="AI15" s="264">
        <v>0</v>
      </c>
      <c r="AJ15" s="239">
        <v>20.5</v>
      </c>
      <c r="AK15" s="239">
        <v>20.5</v>
      </c>
      <c r="AL15" s="135" t="s">
        <v>53</v>
      </c>
      <c r="AM15" s="240">
        <v>0</v>
      </c>
      <c r="AN15" s="137" t="s">
        <v>53</v>
      </c>
      <c r="AO15" s="241">
        <v>3</v>
      </c>
      <c r="AP15" s="242" t="s">
        <v>53</v>
      </c>
      <c r="AQ15" s="140" t="s">
        <v>62</v>
      </c>
      <c r="AR15" s="141">
        <v>2190.98</v>
      </c>
      <c r="AS15" s="117">
        <v>0.25</v>
      </c>
      <c r="AT15" s="1507" t="s">
        <v>60</v>
      </c>
      <c r="AU15" s="1457"/>
      <c r="AV15" s="243">
        <v>0.2</v>
      </c>
      <c r="AW15" s="119" t="s">
        <v>61</v>
      </c>
      <c r="AX15" s="142">
        <v>44</v>
      </c>
      <c r="AY15" s="261">
        <v>0</v>
      </c>
      <c r="AZ15" s="261">
        <v>0</v>
      </c>
      <c r="BA15" s="234">
        <v>20.5</v>
      </c>
      <c r="BB15" s="234">
        <v>20.5</v>
      </c>
      <c r="BC15" s="123" t="s">
        <v>53</v>
      </c>
      <c r="BD15" s="140">
        <v>1</v>
      </c>
      <c r="BE15" s="125" t="s">
        <v>53</v>
      </c>
      <c r="BF15" s="244"/>
      <c r="BG15" s="245" t="s">
        <v>53</v>
      </c>
      <c r="BH15" s="146" t="s">
        <v>62</v>
      </c>
      <c r="BI15" s="147">
        <v>2190.98</v>
      </c>
      <c r="BJ15" s="265">
        <v>0.25</v>
      </c>
      <c r="BK15" s="1500" t="s">
        <v>60</v>
      </c>
      <c r="BL15" s="1457"/>
      <c r="BM15" s="265">
        <v>0.2</v>
      </c>
      <c r="BN15" s="149" t="s">
        <v>61</v>
      </c>
      <c r="BO15" s="150">
        <v>40</v>
      </c>
      <c r="BP15" s="151">
        <v>0</v>
      </c>
      <c r="BQ15" s="151">
        <v>0</v>
      </c>
      <c r="BR15" s="266">
        <v>20.5</v>
      </c>
      <c r="BS15" s="266">
        <v>20.5</v>
      </c>
      <c r="BT15" s="152" t="s">
        <v>47</v>
      </c>
      <c r="BU15" s="266"/>
      <c r="BV15" s="153" t="s">
        <v>53</v>
      </c>
      <c r="BW15" s="248">
        <v>1</v>
      </c>
      <c r="BX15" s="249" t="s">
        <v>53</v>
      </c>
      <c r="BY15" s="140" t="s">
        <v>62</v>
      </c>
      <c r="BZ15" s="155">
        <v>5637.96</v>
      </c>
      <c r="CA15" s="267">
        <v>0.25</v>
      </c>
      <c r="CB15" s="1499" t="s">
        <v>60</v>
      </c>
      <c r="CC15" s="1457"/>
      <c r="CD15" s="267">
        <v>0.2</v>
      </c>
      <c r="CE15" s="119" t="s">
        <v>63</v>
      </c>
      <c r="CF15" s="156">
        <v>44</v>
      </c>
      <c r="CG15" s="157">
        <v>0</v>
      </c>
      <c r="CH15" s="157">
        <v>0</v>
      </c>
      <c r="CI15" s="268">
        <v>20.5</v>
      </c>
      <c r="CJ15" s="268">
        <v>20.5</v>
      </c>
      <c r="CK15" s="123" t="s">
        <v>53</v>
      </c>
      <c r="CL15" s="268"/>
      <c r="CM15" s="158" t="s">
        <v>53</v>
      </c>
      <c r="CN15" s="250">
        <v>1</v>
      </c>
      <c r="CO15" s="251" t="s">
        <v>53</v>
      </c>
      <c r="CP15" s="161" t="s">
        <v>62</v>
      </c>
      <c r="CQ15" s="162">
        <v>5637.96</v>
      </c>
      <c r="CR15" s="269">
        <v>0.25</v>
      </c>
      <c r="CS15" s="1498" t="s">
        <v>60</v>
      </c>
      <c r="CT15" s="1457"/>
      <c r="CU15" s="269">
        <v>0.2</v>
      </c>
      <c r="CV15" s="164" t="s">
        <v>63</v>
      </c>
      <c r="CW15" s="165">
        <v>44</v>
      </c>
      <c r="CX15" s="166">
        <v>0</v>
      </c>
      <c r="CY15" s="166">
        <v>0</v>
      </c>
      <c r="CZ15" s="270">
        <v>20.5</v>
      </c>
      <c r="DA15" s="270">
        <v>20.5</v>
      </c>
      <c r="DB15" s="167" t="s">
        <v>53</v>
      </c>
      <c r="DC15" s="270"/>
      <c r="DD15" s="168" t="s">
        <v>53</v>
      </c>
      <c r="DE15" s="248"/>
      <c r="DF15" s="249" t="s">
        <v>53</v>
      </c>
      <c r="DG15" s="169" t="s">
        <v>59</v>
      </c>
      <c r="DH15" s="155">
        <v>2161.0500000000002</v>
      </c>
      <c r="DI15" s="267">
        <v>0.25</v>
      </c>
      <c r="DJ15" s="1505" t="s">
        <v>60</v>
      </c>
      <c r="DK15" s="1457"/>
      <c r="DL15" s="267">
        <v>0.2</v>
      </c>
      <c r="DM15" s="119" t="s">
        <v>61</v>
      </c>
      <c r="DN15" s="170">
        <v>40</v>
      </c>
      <c r="DO15" s="157">
        <v>0</v>
      </c>
      <c r="DP15" s="157">
        <v>0</v>
      </c>
      <c r="DQ15" s="268">
        <v>20.5</v>
      </c>
      <c r="DR15" s="268">
        <v>20.5</v>
      </c>
      <c r="DS15" s="123" t="s">
        <v>53</v>
      </c>
      <c r="DT15" s="268"/>
      <c r="DU15" s="158" t="s">
        <v>53</v>
      </c>
      <c r="DV15" s="254">
        <v>0</v>
      </c>
      <c r="DW15" s="255" t="s">
        <v>53</v>
      </c>
      <c r="DX15" s="173" t="s">
        <v>64</v>
      </c>
      <c r="DY15" s="271">
        <v>1854.91</v>
      </c>
      <c r="DZ15" s="272">
        <v>0.25</v>
      </c>
      <c r="EA15" s="1506" t="s">
        <v>60</v>
      </c>
      <c r="EB15" s="1457"/>
      <c r="EC15" s="272">
        <v>0.2</v>
      </c>
      <c r="ED15" s="176" t="s">
        <v>63</v>
      </c>
      <c r="EE15" s="177">
        <v>20</v>
      </c>
      <c r="EF15" s="178">
        <v>0</v>
      </c>
      <c r="EG15" s="178">
        <v>0</v>
      </c>
      <c r="EH15" s="273">
        <v>22</v>
      </c>
      <c r="EI15" s="273">
        <v>22</v>
      </c>
      <c r="EJ15" s="179" t="s">
        <v>47</v>
      </c>
      <c r="EK15" s="273"/>
      <c r="EL15" s="273" t="s">
        <v>47</v>
      </c>
      <c r="EM15" s="254">
        <v>0</v>
      </c>
      <c r="EN15" s="255" t="s">
        <v>53</v>
      </c>
      <c r="EO15" s="173" t="s">
        <v>64</v>
      </c>
      <c r="EP15" s="271">
        <v>2925.11</v>
      </c>
      <c r="EQ15" s="272">
        <v>0.25</v>
      </c>
      <c r="ER15" s="1506" t="s">
        <v>60</v>
      </c>
      <c r="ES15" s="1457"/>
      <c r="ET15" s="272">
        <v>0.2</v>
      </c>
      <c r="EU15" s="176" t="s">
        <v>63</v>
      </c>
      <c r="EV15" s="177">
        <v>44</v>
      </c>
      <c r="EW15" s="178">
        <v>0</v>
      </c>
      <c r="EX15" s="178">
        <v>0</v>
      </c>
      <c r="EY15" s="273">
        <v>22</v>
      </c>
      <c r="EZ15" s="273">
        <v>22</v>
      </c>
      <c r="FA15" s="179" t="s">
        <v>47</v>
      </c>
      <c r="FB15" s="273"/>
      <c r="FC15" s="273" t="s">
        <v>47</v>
      </c>
      <c r="FD15" s="254">
        <v>0</v>
      </c>
      <c r="FE15" s="255" t="s">
        <v>53</v>
      </c>
      <c r="FF15" s="173" t="s">
        <v>64</v>
      </c>
      <c r="FG15" s="271">
        <v>1741.45</v>
      </c>
      <c r="FH15" s="272">
        <v>0.25</v>
      </c>
      <c r="FI15" s="1506" t="s">
        <v>60</v>
      </c>
      <c r="FJ15" s="1457"/>
      <c r="FK15" s="272">
        <v>0.2</v>
      </c>
      <c r="FL15" s="176" t="s">
        <v>65</v>
      </c>
      <c r="FM15" s="177">
        <v>44</v>
      </c>
      <c r="FN15" s="178">
        <f t="shared" si="4"/>
        <v>0</v>
      </c>
      <c r="FO15" s="178">
        <f t="shared" ref="FO15:FO17" si="11">IFERROR(((52+12)/(IF(FE15="S",FD15+(IF(Y15="S",X15,0))+(IF(AS15="S",AR15,0)),0)))/12,0)</f>
        <v>0</v>
      </c>
      <c r="FP15" s="273">
        <v>9</v>
      </c>
      <c r="FQ15" s="273"/>
      <c r="FR15" s="179" t="s">
        <v>47</v>
      </c>
      <c r="FS15" s="273"/>
      <c r="FT15" s="273"/>
      <c r="FU15" s="254">
        <v>0</v>
      </c>
      <c r="FV15" s="255" t="s">
        <v>53</v>
      </c>
      <c r="FW15" s="173" t="s">
        <v>66</v>
      </c>
      <c r="FX15" s="271">
        <v>0</v>
      </c>
      <c r="FY15" s="272">
        <v>0.25</v>
      </c>
      <c r="FZ15" s="1506" t="s">
        <v>60</v>
      </c>
      <c r="GA15" s="1457"/>
      <c r="GB15" s="272">
        <v>0.2</v>
      </c>
      <c r="GC15" s="176" t="s">
        <v>63</v>
      </c>
      <c r="GD15" s="177">
        <v>44</v>
      </c>
      <c r="GE15" s="178">
        <f t="shared" si="6"/>
        <v>0</v>
      </c>
      <c r="GF15" s="178">
        <f t="shared" ref="GF15:GF17" si="12">IFERROR(((52+12)/(IF(FV15="S",FU15+(IF(Y15="S",X15,0))+(IF(AS15="S",AR15,0)),0)))/12,0)</f>
        <v>0</v>
      </c>
      <c r="GG15" s="273">
        <v>0</v>
      </c>
      <c r="GH15" s="273"/>
      <c r="GI15" s="179" t="s">
        <v>47</v>
      </c>
      <c r="GJ15" s="273"/>
      <c r="GK15" s="273"/>
      <c r="GL15" s="254">
        <v>0</v>
      </c>
      <c r="GM15" s="255" t="s">
        <v>53</v>
      </c>
      <c r="GN15" s="173" t="s">
        <v>66</v>
      </c>
      <c r="GO15" s="271">
        <v>0</v>
      </c>
      <c r="GP15" s="272">
        <v>0.25</v>
      </c>
      <c r="GQ15" s="1506" t="s">
        <v>60</v>
      </c>
      <c r="GR15" s="1457"/>
      <c r="GS15" s="272">
        <v>0.2</v>
      </c>
      <c r="GT15" s="176" t="s">
        <v>63</v>
      </c>
      <c r="GU15" s="177">
        <v>44</v>
      </c>
      <c r="GV15" s="178">
        <f t="shared" si="8"/>
        <v>0</v>
      </c>
      <c r="GW15" s="178">
        <f t="shared" ref="GW15:GW17" si="13">IFERROR(((52+12)/(IF(GM15="S",GL15+(IF(Y15="S",X15,0))+(IF(AS15="S",AR15,0)),0)))/12,0)</f>
        <v>0</v>
      </c>
      <c r="GX15" s="273">
        <v>0</v>
      </c>
      <c r="GY15" s="273"/>
      <c r="GZ15" s="179" t="s">
        <v>47</v>
      </c>
      <c r="HA15" s="273"/>
      <c r="HB15" s="273"/>
      <c r="HC15" s="181">
        <f t="shared" si="3"/>
        <v>5</v>
      </c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3">
        <f t="shared" si="10"/>
        <v>5</v>
      </c>
    </row>
    <row r="16" spans="1:222" ht="22.5" customHeight="1">
      <c r="A16" s="13"/>
      <c r="B16" s="229">
        <v>158127</v>
      </c>
      <c r="C16" s="229" t="s">
        <v>77</v>
      </c>
      <c r="D16" s="230" t="s">
        <v>78</v>
      </c>
      <c r="E16" s="274">
        <v>6.5</v>
      </c>
      <c r="F16" s="231">
        <v>4</v>
      </c>
      <c r="G16" s="232"/>
      <c r="H16" s="233" t="s">
        <v>53</v>
      </c>
      <c r="I16" s="115" t="s">
        <v>79</v>
      </c>
      <c r="J16" s="116">
        <v>2161.0500000000002</v>
      </c>
      <c r="K16" s="188">
        <v>0.2</v>
      </c>
      <c r="L16" s="1516" t="s">
        <v>60</v>
      </c>
      <c r="M16" s="1457"/>
      <c r="N16" s="118">
        <v>0.4</v>
      </c>
      <c r="O16" s="119" t="s">
        <v>61</v>
      </c>
      <c r="P16" s="189">
        <v>40</v>
      </c>
      <c r="Q16" s="190">
        <v>0</v>
      </c>
      <c r="R16" s="190">
        <v>0</v>
      </c>
      <c r="S16" s="234">
        <v>20.5</v>
      </c>
      <c r="T16" s="234">
        <v>20.5</v>
      </c>
      <c r="U16" s="123" t="s">
        <v>53</v>
      </c>
      <c r="V16" s="235">
        <v>0</v>
      </c>
      <c r="W16" s="125" t="s">
        <v>53</v>
      </c>
      <c r="X16" s="236">
        <v>2</v>
      </c>
      <c r="Y16" s="237" t="s">
        <v>53</v>
      </c>
      <c r="Z16" s="195" t="s">
        <v>79</v>
      </c>
      <c r="AA16" s="129">
        <v>2161.0500000000002</v>
      </c>
      <c r="AB16" s="238">
        <v>0.25</v>
      </c>
      <c r="AC16" s="1515" t="s">
        <v>60</v>
      </c>
      <c r="AD16" s="1457"/>
      <c r="AE16" s="130">
        <v>0.4</v>
      </c>
      <c r="AF16" s="131" t="s">
        <v>61</v>
      </c>
      <c r="AG16" s="132">
        <v>44</v>
      </c>
      <c r="AH16" s="196">
        <v>0</v>
      </c>
      <c r="AI16" s="196">
        <v>0</v>
      </c>
      <c r="AJ16" s="239">
        <v>20.5</v>
      </c>
      <c r="AK16" s="239">
        <v>20.5</v>
      </c>
      <c r="AL16" s="135" t="s">
        <v>53</v>
      </c>
      <c r="AM16" s="240">
        <v>0</v>
      </c>
      <c r="AN16" s="137" t="s">
        <v>53</v>
      </c>
      <c r="AO16" s="260"/>
      <c r="AP16" s="242" t="s">
        <v>53</v>
      </c>
      <c r="AQ16" s="140" t="s">
        <v>62</v>
      </c>
      <c r="AR16" s="141">
        <v>2190.98</v>
      </c>
      <c r="AS16" s="117">
        <v>0.25</v>
      </c>
      <c r="AT16" s="1507" t="s">
        <v>60</v>
      </c>
      <c r="AU16" s="1457"/>
      <c r="AV16" s="243">
        <v>0.2</v>
      </c>
      <c r="AW16" s="119" t="s">
        <v>61</v>
      </c>
      <c r="AX16" s="142">
        <v>44</v>
      </c>
      <c r="AY16" s="190">
        <v>0</v>
      </c>
      <c r="AZ16" s="190">
        <v>0</v>
      </c>
      <c r="BA16" s="234">
        <v>20.5</v>
      </c>
      <c r="BB16" s="234">
        <v>20.5</v>
      </c>
      <c r="BC16" s="123" t="s">
        <v>53</v>
      </c>
      <c r="BD16" s="140">
        <v>1</v>
      </c>
      <c r="BE16" s="125" t="s">
        <v>53</v>
      </c>
      <c r="BF16" s="244"/>
      <c r="BG16" s="245" t="s">
        <v>53</v>
      </c>
      <c r="BH16" s="146" t="s">
        <v>62</v>
      </c>
      <c r="BI16" s="147">
        <v>2190.98</v>
      </c>
      <c r="BJ16" s="246">
        <v>0.25</v>
      </c>
      <c r="BK16" s="1500" t="s">
        <v>60</v>
      </c>
      <c r="BL16" s="1457"/>
      <c r="BM16" s="246">
        <v>0.2</v>
      </c>
      <c r="BN16" s="149" t="s">
        <v>61</v>
      </c>
      <c r="BO16" s="150">
        <v>40</v>
      </c>
      <c r="BP16" s="207">
        <v>0</v>
      </c>
      <c r="BQ16" s="207">
        <v>0</v>
      </c>
      <c r="BR16" s="247">
        <v>20.5</v>
      </c>
      <c r="BS16" s="247">
        <v>20.5</v>
      </c>
      <c r="BT16" s="146" t="s">
        <v>47</v>
      </c>
      <c r="BU16" s="247"/>
      <c r="BV16" s="153" t="s">
        <v>53</v>
      </c>
      <c r="BW16" s="248">
        <v>1</v>
      </c>
      <c r="BX16" s="249" t="s">
        <v>53</v>
      </c>
      <c r="BY16" s="140" t="s">
        <v>62</v>
      </c>
      <c r="BZ16" s="155">
        <v>5637.96</v>
      </c>
      <c r="CA16" s="243">
        <v>0.25</v>
      </c>
      <c r="CB16" s="1499" t="s">
        <v>60</v>
      </c>
      <c r="CC16" s="1457"/>
      <c r="CD16" s="243">
        <v>0.2</v>
      </c>
      <c r="CE16" s="212" t="s">
        <v>63</v>
      </c>
      <c r="CF16" s="156">
        <v>44</v>
      </c>
      <c r="CG16" s="213">
        <v>0</v>
      </c>
      <c r="CH16" s="213">
        <v>0</v>
      </c>
      <c r="CI16" s="143">
        <v>20.5</v>
      </c>
      <c r="CJ16" s="143">
        <v>20.5</v>
      </c>
      <c r="CK16" s="140" t="s">
        <v>53</v>
      </c>
      <c r="CL16" s="143"/>
      <c r="CM16" s="158" t="s">
        <v>53</v>
      </c>
      <c r="CN16" s="250"/>
      <c r="CO16" s="251" t="s">
        <v>53</v>
      </c>
      <c r="CP16" s="161" t="s">
        <v>62</v>
      </c>
      <c r="CQ16" s="162">
        <v>5637.96</v>
      </c>
      <c r="CR16" s="252">
        <v>0.25</v>
      </c>
      <c r="CS16" s="1498" t="s">
        <v>60</v>
      </c>
      <c r="CT16" s="1457"/>
      <c r="CU16" s="252">
        <v>0.2</v>
      </c>
      <c r="CV16" s="218" t="s">
        <v>63</v>
      </c>
      <c r="CW16" s="165">
        <v>44</v>
      </c>
      <c r="CX16" s="219">
        <v>0</v>
      </c>
      <c r="CY16" s="219">
        <v>0</v>
      </c>
      <c r="CZ16" s="253">
        <v>20.5</v>
      </c>
      <c r="DA16" s="253">
        <v>20.5</v>
      </c>
      <c r="DB16" s="167" t="s">
        <v>53</v>
      </c>
      <c r="DC16" s="253"/>
      <c r="DD16" s="168" t="s">
        <v>53</v>
      </c>
      <c r="DE16" s="248">
        <v>2</v>
      </c>
      <c r="DF16" s="249" t="s">
        <v>53</v>
      </c>
      <c r="DG16" s="169" t="s">
        <v>79</v>
      </c>
      <c r="DH16" s="155">
        <v>2161.0500000000002</v>
      </c>
      <c r="DI16" s="243">
        <v>0.25</v>
      </c>
      <c r="DJ16" s="1505" t="s">
        <v>60</v>
      </c>
      <c r="DK16" s="1457"/>
      <c r="DL16" s="243">
        <v>0.2</v>
      </c>
      <c r="DM16" s="119" t="s">
        <v>61</v>
      </c>
      <c r="DN16" s="170">
        <v>40</v>
      </c>
      <c r="DO16" s="213">
        <v>0</v>
      </c>
      <c r="DP16" s="213">
        <v>0</v>
      </c>
      <c r="DQ16" s="143">
        <v>20.5</v>
      </c>
      <c r="DR16" s="143">
        <v>20.5</v>
      </c>
      <c r="DS16" s="140" t="s">
        <v>53</v>
      </c>
      <c r="DT16" s="143"/>
      <c r="DU16" s="158" t="s">
        <v>53</v>
      </c>
      <c r="DV16" s="254">
        <v>0</v>
      </c>
      <c r="DW16" s="255" t="s">
        <v>53</v>
      </c>
      <c r="DX16" s="173" t="s">
        <v>64</v>
      </c>
      <c r="DY16" s="256">
        <v>1854.91</v>
      </c>
      <c r="DZ16" s="257">
        <v>0.25</v>
      </c>
      <c r="EA16" s="1506" t="s">
        <v>60</v>
      </c>
      <c r="EB16" s="1457"/>
      <c r="EC16" s="257">
        <v>0.2</v>
      </c>
      <c r="ED16" s="226" t="s">
        <v>63</v>
      </c>
      <c r="EE16" s="177">
        <v>20</v>
      </c>
      <c r="EF16" s="227">
        <v>0</v>
      </c>
      <c r="EG16" s="227">
        <v>0</v>
      </c>
      <c r="EH16" s="258">
        <v>22</v>
      </c>
      <c r="EI16" s="258">
        <v>22</v>
      </c>
      <c r="EJ16" s="173" t="s">
        <v>47</v>
      </c>
      <c r="EK16" s="258"/>
      <c r="EL16" s="258" t="s">
        <v>47</v>
      </c>
      <c r="EM16" s="254">
        <v>0</v>
      </c>
      <c r="EN16" s="255" t="s">
        <v>53</v>
      </c>
      <c r="EO16" s="173" t="s">
        <v>64</v>
      </c>
      <c r="EP16" s="256">
        <v>3017.67</v>
      </c>
      <c r="EQ16" s="257">
        <v>0.25</v>
      </c>
      <c r="ER16" s="1506" t="s">
        <v>60</v>
      </c>
      <c r="ES16" s="1457"/>
      <c r="ET16" s="257">
        <v>0.2</v>
      </c>
      <c r="EU16" s="226" t="s">
        <v>63</v>
      </c>
      <c r="EV16" s="177">
        <v>44</v>
      </c>
      <c r="EW16" s="227">
        <v>0</v>
      </c>
      <c r="EX16" s="227">
        <v>0</v>
      </c>
      <c r="EY16" s="258">
        <v>22</v>
      </c>
      <c r="EZ16" s="258">
        <v>22</v>
      </c>
      <c r="FA16" s="173" t="s">
        <v>47</v>
      </c>
      <c r="FB16" s="258"/>
      <c r="FC16" s="258" t="s">
        <v>47</v>
      </c>
      <c r="FD16" s="254">
        <v>0</v>
      </c>
      <c r="FE16" s="255" t="s">
        <v>53</v>
      </c>
      <c r="FF16" s="173" t="s">
        <v>64</v>
      </c>
      <c r="FG16" s="256">
        <v>1741.45</v>
      </c>
      <c r="FH16" s="257">
        <v>0.25</v>
      </c>
      <c r="FI16" s="1506" t="s">
        <v>60</v>
      </c>
      <c r="FJ16" s="1457"/>
      <c r="FK16" s="257">
        <v>0.2</v>
      </c>
      <c r="FL16" s="226" t="s">
        <v>65</v>
      </c>
      <c r="FM16" s="177">
        <v>44</v>
      </c>
      <c r="FN16" s="227">
        <f t="shared" si="4"/>
        <v>0</v>
      </c>
      <c r="FO16" s="227">
        <f t="shared" si="11"/>
        <v>0</v>
      </c>
      <c r="FP16" s="258">
        <v>9</v>
      </c>
      <c r="FQ16" s="258"/>
      <c r="FR16" s="173" t="s">
        <v>47</v>
      </c>
      <c r="FS16" s="258"/>
      <c r="FT16" s="258"/>
      <c r="FU16" s="254">
        <v>0</v>
      </c>
      <c r="FV16" s="255" t="s">
        <v>53</v>
      </c>
      <c r="FW16" s="173" t="s">
        <v>66</v>
      </c>
      <c r="FX16" s="256">
        <v>0</v>
      </c>
      <c r="FY16" s="257">
        <v>0.25</v>
      </c>
      <c r="FZ16" s="1506" t="s">
        <v>60</v>
      </c>
      <c r="GA16" s="1457"/>
      <c r="GB16" s="257">
        <v>0.2</v>
      </c>
      <c r="GC16" s="226" t="s">
        <v>63</v>
      </c>
      <c r="GD16" s="177">
        <v>44</v>
      </c>
      <c r="GE16" s="227">
        <f t="shared" si="6"/>
        <v>0</v>
      </c>
      <c r="GF16" s="227">
        <f t="shared" si="12"/>
        <v>0</v>
      </c>
      <c r="GG16" s="258">
        <v>0</v>
      </c>
      <c r="GH16" s="258"/>
      <c r="GI16" s="173" t="s">
        <v>47</v>
      </c>
      <c r="GJ16" s="258"/>
      <c r="GK16" s="258"/>
      <c r="GL16" s="254">
        <v>0</v>
      </c>
      <c r="GM16" s="255" t="s">
        <v>53</v>
      </c>
      <c r="GN16" s="173" t="s">
        <v>66</v>
      </c>
      <c r="GO16" s="256">
        <v>0</v>
      </c>
      <c r="GP16" s="257">
        <v>0.25</v>
      </c>
      <c r="GQ16" s="1506" t="s">
        <v>60</v>
      </c>
      <c r="GR16" s="1457"/>
      <c r="GS16" s="257">
        <v>0.2</v>
      </c>
      <c r="GT16" s="226" t="s">
        <v>63</v>
      </c>
      <c r="GU16" s="177">
        <v>44</v>
      </c>
      <c r="GV16" s="227">
        <f t="shared" si="8"/>
        <v>0</v>
      </c>
      <c r="GW16" s="227">
        <f t="shared" si="13"/>
        <v>0</v>
      </c>
      <c r="GX16" s="258">
        <v>0</v>
      </c>
      <c r="GY16" s="258"/>
      <c r="GZ16" s="173" t="s">
        <v>47</v>
      </c>
      <c r="HA16" s="258"/>
      <c r="HB16" s="258"/>
      <c r="HC16" s="181">
        <f t="shared" si="3"/>
        <v>5</v>
      </c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183">
        <f t="shared" si="10"/>
        <v>5</v>
      </c>
    </row>
    <row r="17" spans="1:222" ht="22.5" customHeight="1">
      <c r="A17" s="13"/>
      <c r="B17" s="229">
        <v>158504</v>
      </c>
      <c r="C17" s="229" t="s">
        <v>80</v>
      </c>
      <c r="D17" s="230" t="s">
        <v>81</v>
      </c>
      <c r="E17" s="184">
        <v>5.5</v>
      </c>
      <c r="F17" s="231">
        <v>3</v>
      </c>
      <c r="G17" s="232">
        <v>2</v>
      </c>
      <c r="H17" s="233" t="s">
        <v>53</v>
      </c>
      <c r="I17" s="115" t="s">
        <v>59</v>
      </c>
      <c r="J17" s="116">
        <v>2161.0500000000002</v>
      </c>
      <c r="K17" s="188">
        <v>0.2</v>
      </c>
      <c r="L17" s="1516" t="s">
        <v>60</v>
      </c>
      <c r="M17" s="1457"/>
      <c r="N17" s="118">
        <v>0.4</v>
      </c>
      <c r="O17" s="119" t="s">
        <v>61</v>
      </c>
      <c r="P17" s="189">
        <v>40</v>
      </c>
      <c r="Q17" s="190">
        <v>0</v>
      </c>
      <c r="R17" s="190">
        <v>0</v>
      </c>
      <c r="S17" s="234">
        <v>20.5</v>
      </c>
      <c r="T17" s="234">
        <v>20.5</v>
      </c>
      <c r="U17" s="123" t="s">
        <v>53</v>
      </c>
      <c r="V17" s="235">
        <v>0</v>
      </c>
      <c r="W17" s="125" t="s">
        <v>53</v>
      </c>
      <c r="X17" s="236"/>
      <c r="Y17" s="237" t="s">
        <v>53</v>
      </c>
      <c r="Z17" s="195" t="s">
        <v>59</v>
      </c>
      <c r="AA17" s="129">
        <v>2161.0500000000002</v>
      </c>
      <c r="AB17" s="238">
        <v>0.25</v>
      </c>
      <c r="AC17" s="1515" t="s">
        <v>60</v>
      </c>
      <c r="AD17" s="1457"/>
      <c r="AE17" s="130">
        <v>0.4</v>
      </c>
      <c r="AF17" s="131" t="s">
        <v>61</v>
      </c>
      <c r="AG17" s="132">
        <v>44</v>
      </c>
      <c r="AH17" s="196">
        <v>0</v>
      </c>
      <c r="AI17" s="196">
        <v>0</v>
      </c>
      <c r="AJ17" s="239">
        <v>20.5</v>
      </c>
      <c r="AK17" s="239">
        <v>20.5</v>
      </c>
      <c r="AL17" s="135" t="s">
        <v>53</v>
      </c>
      <c r="AM17" s="240">
        <v>0</v>
      </c>
      <c r="AN17" s="137" t="s">
        <v>53</v>
      </c>
      <c r="AO17" s="241">
        <v>0</v>
      </c>
      <c r="AP17" s="242" t="s">
        <v>53</v>
      </c>
      <c r="AQ17" s="140" t="s">
        <v>62</v>
      </c>
      <c r="AR17" s="141">
        <v>2190.98</v>
      </c>
      <c r="AS17" s="117">
        <v>0.25</v>
      </c>
      <c r="AT17" s="1507" t="s">
        <v>60</v>
      </c>
      <c r="AU17" s="1457"/>
      <c r="AV17" s="243">
        <v>0.2</v>
      </c>
      <c r="AW17" s="119" t="s">
        <v>61</v>
      </c>
      <c r="AX17" s="142">
        <v>44</v>
      </c>
      <c r="AY17" s="190">
        <v>0</v>
      </c>
      <c r="AZ17" s="190">
        <v>0</v>
      </c>
      <c r="BA17" s="234">
        <v>20.5</v>
      </c>
      <c r="BB17" s="234">
        <v>20.5</v>
      </c>
      <c r="BC17" s="123" t="s">
        <v>53</v>
      </c>
      <c r="BD17" s="140">
        <v>1</v>
      </c>
      <c r="BE17" s="125" t="s">
        <v>53</v>
      </c>
      <c r="BF17" s="244">
        <v>0</v>
      </c>
      <c r="BG17" s="245" t="s">
        <v>53</v>
      </c>
      <c r="BH17" s="146" t="s">
        <v>62</v>
      </c>
      <c r="BI17" s="147">
        <v>2190.98</v>
      </c>
      <c r="BJ17" s="246">
        <v>0.25</v>
      </c>
      <c r="BK17" s="1500" t="s">
        <v>60</v>
      </c>
      <c r="BL17" s="1457"/>
      <c r="BM17" s="246">
        <v>0.2</v>
      </c>
      <c r="BN17" s="149" t="s">
        <v>61</v>
      </c>
      <c r="BO17" s="150">
        <v>40</v>
      </c>
      <c r="BP17" s="207">
        <v>0</v>
      </c>
      <c r="BQ17" s="207">
        <v>0</v>
      </c>
      <c r="BR17" s="247">
        <v>20.5</v>
      </c>
      <c r="BS17" s="247">
        <v>20.5</v>
      </c>
      <c r="BT17" s="146" t="s">
        <v>47</v>
      </c>
      <c r="BU17" s="247"/>
      <c r="BV17" s="153" t="s">
        <v>53</v>
      </c>
      <c r="BW17" s="248"/>
      <c r="BX17" s="249" t="s">
        <v>53</v>
      </c>
      <c r="BY17" s="140" t="s">
        <v>62</v>
      </c>
      <c r="BZ17" s="155">
        <v>5637.96</v>
      </c>
      <c r="CA17" s="243">
        <v>0.25</v>
      </c>
      <c r="CB17" s="1499" t="s">
        <v>60</v>
      </c>
      <c r="CC17" s="1457"/>
      <c r="CD17" s="243">
        <v>0.2</v>
      </c>
      <c r="CE17" s="212" t="s">
        <v>63</v>
      </c>
      <c r="CF17" s="156">
        <v>44</v>
      </c>
      <c r="CG17" s="213">
        <v>0</v>
      </c>
      <c r="CH17" s="213">
        <v>0</v>
      </c>
      <c r="CI17" s="143">
        <v>20.5</v>
      </c>
      <c r="CJ17" s="143">
        <v>20.5</v>
      </c>
      <c r="CK17" s="140" t="s">
        <v>53</v>
      </c>
      <c r="CL17" s="143"/>
      <c r="CM17" s="158" t="s">
        <v>53</v>
      </c>
      <c r="CN17" s="250">
        <v>1</v>
      </c>
      <c r="CO17" s="251" t="s">
        <v>53</v>
      </c>
      <c r="CP17" s="161" t="s">
        <v>62</v>
      </c>
      <c r="CQ17" s="162">
        <v>5637.96</v>
      </c>
      <c r="CR17" s="252">
        <v>0.25</v>
      </c>
      <c r="CS17" s="1498" t="s">
        <v>60</v>
      </c>
      <c r="CT17" s="1457"/>
      <c r="CU17" s="252">
        <v>0.2</v>
      </c>
      <c r="CV17" s="218" t="s">
        <v>63</v>
      </c>
      <c r="CW17" s="165">
        <v>44</v>
      </c>
      <c r="CX17" s="219">
        <v>0</v>
      </c>
      <c r="CY17" s="219">
        <v>0</v>
      </c>
      <c r="CZ17" s="253">
        <v>20.5</v>
      </c>
      <c r="DA17" s="253">
        <v>20.5</v>
      </c>
      <c r="DB17" s="167" t="s">
        <v>53</v>
      </c>
      <c r="DC17" s="253"/>
      <c r="DD17" s="168" t="s">
        <v>53</v>
      </c>
      <c r="DE17" s="248">
        <v>4</v>
      </c>
      <c r="DF17" s="249" t="s">
        <v>53</v>
      </c>
      <c r="DG17" s="169" t="s">
        <v>59</v>
      </c>
      <c r="DH17" s="155">
        <v>2161.0500000000002</v>
      </c>
      <c r="DI17" s="243">
        <v>0.25</v>
      </c>
      <c r="DJ17" s="1505" t="s">
        <v>60</v>
      </c>
      <c r="DK17" s="1457"/>
      <c r="DL17" s="243">
        <v>0.2</v>
      </c>
      <c r="DM17" s="119" t="s">
        <v>61</v>
      </c>
      <c r="DN17" s="170">
        <v>40</v>
      </c>
      <c r="DO17" s="213">
        <v>0</v>
      </c>
      <c r="DP17" s="213">
        <v>0</v>
      </c>
      <c r="DQ17" s="143">
        <v>20.5</v>
      </c>
      <c r="DR17" s="143">
        <v>20.5</v>
      </c>
      <c r="DS17" s="140" t="s">
        <v>53</v>
      </c>
      <c r="DT17" s="143"/>
      <c r="DU17" s="158" t="s">
        <v>53</v>
      </c>
      <c r="DV17" s="254">
        <v>0</v>
      </c>
      <c r="DW17" s="255" t="s">
        <v>53</v>
      </c>
      <c r="DX17" s="173" t="s">
        <v>64</v>
      </c>
      <c r="DY17" s="256">
        <v>1854.91</v>
      </c>
      <c r="DZ17" s="257">
        <v>0.25</v>
      </c>
      <c r="EA17" s="1506" t="s">
        <v>60</v>
      </c>
      <c r="EB17" s="1457"/>
      <c r="EC17" s="257">
        <v>0.2</v>
      </c>
      <c r="ED17" s="226" t="s">
        <v>63</v>
      </c>
      <c r="EE17" s="177">
        <v>20</v>
      </c>
      <c r="EF17" s="227">
        <v>0</v>
      </c>
      <c r="EG17" s="227">
        <v>0</v>
      </c>
      <c r="EH17" s="258">
        <v>22</v>
      </c>
      <c r="EI17" s="258">
        <v>22</v>
      </c>
      <c r="EJ17" s="173" t="s">
        <v>47</v>
      </c>
      <c r="EK17" s="258"/>
      <c r="EL17" s="258" t="s">
        <v>47</v>
      </c>
      <c r="EM17" s="254">
        <v>0</v>
      </c>
      <c r="EN17" s="255" t="s">
        <v>53</v>
      </c>
      <c r="EO17" s="173" t="s">
        <v>64</v>
      </c>
      <c r="EP17" s="256">
        <v>2925.11</v>
      </c>
      <c r="EQ17" s="257">
        <v>0.25</v>
      </c>
      <c r="ER17" s="1506" t="s">
        <v>60</v>
      </c>
      <c r="ES17" s="1457"/>
      <c r="ET17" s="257">
        <v>0.2</v>
      </c>
      <c r="EU17" s="226" t="s">
        <v>63</v>
      </c>
      <c r="EV17" s="177">
        <v>44</v>
      </c>
      <c r="EW17" s="227">
        <v>0</v>
      </c>
      <c r="EX17" s="227">
        <v>0</v>
      </c>
      <c r="EY17" s="258">
        <v>22</v>
      </c>
      <c r="EZ17" s="258">
        <v>22</v>
      </c>
      <c r="FA17" s="173" t="s">
        <v>47</v>
      </c>
      <c r="FB17" s="258"/>
      <c r="FC17" s="258" t="s">
        <v>47</v>
      </c>
      <c r="FD17" s="254">
        <v>0</v>
      </c>
      <c r="FE17" s="255" t="s">
        <v>53</v>
      </c>
      <c r="FF17" s="173" t="s">
        <v>64</v>
      </c>
      <c r="FG17" s="256">
        <v>1741.45</v>
      </c>
      <c r="FH17" s="257">
        <v>0.25</v>
      </c>
      <c r="FI17" s="1506" t="s">
        <v>60</v>
      </c>
      <c r="FJ17" s="1457"/>
      <c r="FK17" s="257">
        <v>0.2</v>
      </c>
      <c r="FL17" s="226" t="s">
        <v>65</v>
      </c>
      <c r="FM17" s="177">
        <v>44</v>
      </c>
      <c r="FN17" s="227">
        <f t="shared" si="4"/>
        <v>0</v>
      </c>
      <c r="FO17" s="227">
        <f t="shared" si="11"/>
        <v>0</v>
      </c>
      <c r="FP17" s="258">
        <v>9</v>
      </c>
      <c r="FQ17" s="258"/>
      <c r="FR17" s="173" t="s">
        <v>47</v>
      </c>
      <c r="FS17" s="258"/>
      <c r="FT17" s="258"/>
      <c r="FU17" s="254">
        <v>0</v>
      </c>
      <c r="FV17" s="255" t="s">
        <v>53</v>
      </c>
      <c r="FW17" s="173" t="s">
        <v>66</v>
      </c>
      <c r="FX17" s="256">
        <v>0</v>
      </c>
      <c r="FY17" s="257">
        <v>0.25</v>
      </c>
      <c r="FZ17" s="1506" t="s">
        <v>60</v>
      </c>
      <c r="GA17" s="1457"/>
      <c r="GB17" s="257">
        <v>0.2</v>
      </c>
      <c r="GC17" s="226" t="s">
        <v>63</v>
      </c>
      <c r="GD17" s="177">
        <v>44</v>
      </c>
      <c r="GE17" s="227">
        <f t="shared" si="6"/>
        <v>0</v>
      </c>
      <c r="GF17" s="227">
        <f t="shared" si="12"/>
        <v>0</v>
      </c>
      <c r="GG17" s="258">
        <v>0</v>
      </c>
      <c r="GH17" s="258"/>
      <c r="GI17" s="173" t="s">
        <v>47</v>
      </c>
      <c r="GJ17" s="258"/>
      <c r="GK17" s="258"/>
      <c r="GL17" s="254">
        <v>0</v>
      </c>
      <c r="GM17" s="255" t="s">
        <v>53</v>
      </c>
      <c r="GN17" s="173" t="s">
        <v>66</v>
      </c>
      <c r="GO17" s="256">
        <v>0</v>
      </c>
      <c r="GP17" s="257">
        <v>0.25</v>
      </c>
      <c r="GQ17" s="1506" t="s">
        <v>60</v>
      </c>
      <c r="GR17" s="1457"/>
      <c r="GS17" s="257">
        <v>0.2</v>
      </c>
      <c r="GT17" s="226" t="s">
        <v>63</v>
      </c>
      <c r="GU17" s="177">
        <v>44</v>
      </c>
      <c r="GV17" s="227">
        <f t="shared" si="8"/>
        <v>0</v>
      </c>
      <c r="GW17" s="227">
        <f t="shared" si="13"/>
        <v>0</v>
      </c>
      <c r="GX17" s="258">
        <v>0</v>
      </c>
      <c r="GY17" s="258"/>
      <c r="GZ17" s="173" t="s">
        <v>47</v>
      </c>
      <c r="HA17" s="258"/>
      <c r="HB17" s="258"/>
      <c r="HC17" s="181">
        <f t="shared" si="3"/>
        <v>7</v>
      </c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183">
        <f t="shared" si="10"/>
        <v>7</v>
      </c>
    </row>
    <row r="18" spans="1:222" ht="22.5" customHeight="1">
      <c r="A18" s="13"/>
      <c r="B18" s="229"/>
      <c r="C18" s="229"/>
      <c r="D18" s="230" t="s">
        <v>82</v>
      </c>
      <c r="E18" s="184">
        <v>4</v>
      </c>
      <c r="F18" s="231">
        <v>3</v>
      </c>
      <c r="G18" s="232"/>
      <c r="H18" s="233" t="s">
        <v>53</v>
      </c>
      <c r="I18" s="115" t="s">
        <v>59</v>
      </c>
      <c r="J18" s="116">
        <v>2161.0500000000002</v>
      </c>
      <c r="K18" s="188">
        <v>0.2</v>
      </c>
      <c r="L18" s="1516" t="s">
        <v>60</v>
      </c>
      <c r="M18" s="1457"/>
      <c r="N18" s="118">
        <v>0.4</v>
      </c>
      <c r="O18" s="119" t="s">
        <v>61</v>
      </c>
      <c r="P18" s="189">
        <v>40</v>
      </c>
      <c r="Q18" s="190">
        <v>0</v>
      </c>
      <c r="R18" s="190">
        <v>0</v>
      </c>
      <c r="S18" s="234">
        <v>20.5</v>
      </c>
      <c r="T18" s="234">
        <v>20.5</v>
      </c>
      <c r="U18" s="123" t="s">
        <v>53</v>
      </c>
      <c r="V18" s="235"/>
      <c r="W18" s="125" t="s">
        <v>53</v>
      </c>
      <c r="X18" s="275"/>
      <c r="Y18" s="263" t="s">
        <v>53</v>
      </c>
      <c r="Z18" s="128" t="s">
        <v>59</v>
      </c>
      <c r="AA18" s="129">
        <v>2161.0500000000002</v>
      </c>
      <c r="AB18" s="238">
        <v>0.25</v>
      </c>
      <c r="AC18" s="1515" t="s">
        <v>60</v>
      </c>
      <c r="AD18" s="1457"/>
      <c r="AE18" s="130">
        <v>0.4</v>
      </c>
      <c r="AF18" s="131" t="s">
        <v>61</v>
      </c>
      <c r="AG18" s="132">
        <v>44</v>
      </c>
      <c r="AH18" s="196">
        <v>0</v>
      </c>
      <c r="AI18" s="196">
        <v>0</v>
      </c>
      <c r="AJ18" s="239">
        <v>20.5</v>
      </c>
      <c r="AK18" s="239">
        <v>20.5</v>
      </c>
      <c r="AL18" s="135" t="s">
        <v>53</v>
      </c>
      <c r="AM18" s="240"/>
      <c r="AN18" s="137" t="s">
        <v>53</v>
      </c>
      <c r="AO18" s="241">
        <v>1</v>
      </c>
      <c r="AP18" s="242" t="s">
        <v>53</v>
      </c>
      <c r="AQ18" s="140" t="s">
        <v>62</v>
      </c>
      <c r="AR18" s="141">
        <v>2190.98</v>
      </c>
      <c r="AS18" s="117">
        <v>0.25</v>
      </c>
      <c r="AT18" s="1507" t="s">
        <v>60</v>
      </c>
      <c r="AU18" s="1457"/>
      <c r="AV18" s="243">
        <v>0.2</v>
      </c>
      <c r="AW18" s="119" t="s">
        <v>61</v>
      </c>
      <c r="AX18" s="142">
        <v>44</v>
      </c>
      <c r="AY18" s="190">
        <v>0</v>
      </c>
      <c r="AZ18" s="190">
        <v>0</v>
      </c>
      <c r="BA18" s="234">
        <v>20.5</v>
      </c>
      <c r="BB18" s="234">
        <v>20.5</v>
      </c>
      <c r="BC18" s="123" t="s">
        <v>53</v>
      </c>
      <c r="BD18" s="140"/>
      <c r="BE18" s="125" t="s">
        <v>53</v>
      </c>
      <c r="BF18" s="244"/>
      <c r="BG18" s="245" t="s">
        <v>53</v>
      </c>
      <c r="BH18" s="146" t="s">
        <v>62</v>
      </c>
      <c r="BI18" s="147">
        <v>2190.98</v>
      </c>
      <c r="BJ18" s="246">
        <v>0.25</v>
      </c>
      <c r="BK18" s="206" t="s">
        <v>60</v>
      </c>
      <c r="BL18" s="206"/>
      <c r="BM18" s="246">
        <v>0.2</v>
      </c>
      <c r="BN18" s="149" t="s">
        <v>61</v>
      </c>
      <c r="BO18" s="150">
        <v>40</v>
      </c>
      <c r="BP18" s="207">
        <v>0</v>
      </c>
      <c r="BQ18" s="207">
        <v>0</v>
      </c>
      <c r="BR18" s="247">
        <v>20.5</v>
      </c>
      <c r="BS18" s="247">
        <v>20.5</v>
      </c>
      <c r="BT18" s="146"/>
      <c r="BU18" s="247"/>
      <c r="BV18" s="153" t="s">
        <v>53</v>
      </c>
      <c r="BW18" s="248"/>
      <c r="BX18" s="249" t="s">
        <v>53</v>
      </c>
      <c r="BY18" s="140" t="s">
        <v>62</v>
      </c>
      <c r="BZ18" s="155">
        <v>5637.96</v>
      </c>
      <c r="CA18" s="243">
        <v>0.25</v>
      </c>
      <c r="CB18" s="211" t="s">
        <v>60</v>
      </c>
      <c r="CC18" s="211"/>
      <c r="CD18" s="243">
        <v>0.2</v>
      </c>
      <c r="CE18" s="212" t="s">
        <v>63</v>
      </c>
      <c r="CF18" s="156">
        <v>44</v>
      </c>
      <c r="CG18" s="213">
        <v>0</v>
      </c>
      <c r="CH18" s="213">
        <v>0</v>
      </c>
      <c r="CI18" s="143">
        <v>20.5</v>
      </c>
      <c r="CJ18" s="143">
        <v>20.5</v>
      </c>
      <c r="CK18" s="140" t="s">
        <v>53</v>
      </c>
      <c r="CL18" s="143"/>
      <c r="CM18" s="158" t="s">
        <v>53</v>
      </c>
      <c r="CN18" s="250"/>
      <c r="CO18" s="251" t="s">
        <v>53</v>
      </c>
      <c r="CP18" s="161" t="s">
        <v>62</v>
      </c>
      <c r="CQ18" s="162">
        <v>5637.96</v>
      </c>
      <c r="CR18" s="252">
        <v>0.25</v>
      </c>
      <c r="CS18" s="217" t="s">
        <v>60</v>
      </c>
      <c r="CT18" s="217"/>
      <c r="CU18" s="252">
        <v>0.2</v>
      </c>
      <c r="CV18" s="218" t="s">
        <v>63</v>
      </c>
      <c r="CW18" s="165">
        <v>44</v>
      </c>
      <c r="CX18" s="219">
        <v>0</v>
      </c>
      <c r="CY18" s="219">
        <v>0</v>
      </c>
      <c r="CZ18" s="253">
        <v>20.5</v>
      </c>
      <c r="DA18" s="253">
        <v>20.5</v>
      </c>
      <c r="DB18" s="167" t="s">
        <v>53</v>
      </c>
      <c r="DC18" s="253"/>
      <c r="DD18" s="168" t="s">
        <v>53</v>
      </c>
      <c r="DE18" s="248"/>
      <c r="DF18" s="249" t="s">
        <v>53</v>
      </c>
      <c r="DG18" s="169" t="s">
        <v>59</v>
      </c>
      <c r="DH18" s="155">
        <v>2161.0500000000002</v>
      </c>
      <c r="DI18" s="243">
        <v>0.25</v>
      </c>
      <c r="DJ18" s="1505" t="s">
        <v>60</v>
      </c>
      <c r="DK18" s="1457"/>
      <c r="DL18" s="243">
        <v>0.2</v>
      </c>
      <c r="DM18" s="119" t="s">
        <v>61</v>
      </c>
      <c r="DN18" s="170">
        <v>40</v>
      </c>
      <c r="DO18" s="213">
        <v>0</v>
      </c>
      <c r="DP18" s="213">
        <v>0</v>
      </c>
      <c r="DQ18" s="143">
        <v>20.5</v>
      </c>
      <c r="DR18" s="143">
        <v>20.5</v>
      </c>
      <c r="DS18" s="140" t="s">
        <v>53</v>
      </c>
      <c r="DT18" s="143"/>
      <c r="DU18" s="158" t="s">
        <v>53</v>
      </c>
      <c r="DV18" s="254">
        <v>0</v>
      </c>
      <c r="DW18" s="255" t="s">
        <v>53</v>
      </c>
      <c r="DX18" s="173" t="s">
        <v>64</v>
      </c>
      <c r="DY18" s="256">
        <v>1854.91</v>
      </c>
      <c r="DZ18" s="257">
        <v>0.25</v>
      </c>
      <c r="EA18" s="225" t="s">
        <v>60</v>
      </c>
      <c r="EB18" s="225"/>
      <c r="EC18" s="257">
        <v>0.2</v>
      </c>
      <c r="ED18" s="226" t="s">
        <v>63</v>
      </c>
      <c r="EE18" s="177">
        <v>20</v>
      </c>
      <c r="EF18" s="227">
        <v>0</v>
      </c>
      <c r="EG18" s="227">
        <v>0</v>
      </c>
      <c r="EH18" s="258"/>
      <c r="EI18" s="258"/>
      <c r="EJ18" s="173" t="s">
        <v>47</v>
      </c>
      <c r="EK18" s="258"/>
      <c r="EL18" s="258" t="s">
        <v>47</v>
      </c>
      <c r="EM18" s="254">
        <v>0</v>
      </c>
      <c r="EN18" s="255"/>
      <c r="EO18" s="173" t="s">
        <v>64</v>
      </c>
      <c r="EP18" s="256">
        <v>3017.67</v>
      </c>
      <c r="EQ18" s="257">
        <v>0.25</v>
      </c>
      <c r="ER18" s="225" t="s">
        <v>60</v>
      </c>
      <c r="ES18" s="225"/>
      <c r="ET18" s="257">
        <v>0.2</v>
      </c>
      <c r="EU18" s="226" t="s">
        <v>63</v>
      </c>
      <c r="EV18" s="177">
        <v>44</v>
      </c>
      <c r="EW18" s="227">
        <v>0</v>
      </c>
      <c r="EX18" s="227">
        <v>0</v>
      </c>
      <c r="EY18" s="258">
        <v>22</v>
      </c>
      <c r="EZ18" s="258">
        <v>22</v>
      </c>
      <c r="FA18" s="173" t="s">
        <v>47</v>
      </c>
      <c r="FB18" s="258"/>
      <c r="FC18" s="258" t="s">
        <v>47</v>
      </c>
      <c r="FD18" s="254">
        <v>0</v>
      </c>
      <c r="FE18" s="255"/>
      <c r="FF18" s="173" t="s">
        <v>64</v>
      </c>
      <c r="FG18" s="256"/>
      <c r="FH18" s="257"/>
      <c r="FI18" s="225"/>
      <c r="FJ18" s="225"/>
      <c r="FK18" s="257"/>
      <c r="FL18" s="226"/>
      <c r="FM18" s="177"/>
      <c r="FN18" s="227"/>
      <c r="FO18" s="227"/>
      <c r="FP18" s="258"/>
      <c r="FQ18" s="258"/>
      <c r="FR18" s="173"/>
      <c r="FS18" s="258"/>
      <c r="FT18" s="258"/>
      <c r="FU18" s="254">
        <v>0</v>
      </c>
      <c r="FV18" s="255"/>
      <c r="FW18" s="173"/>
      <c r="FX18" s="256"/>
      <c r="FY18" s="257"/>
      <c r="FZ18" s="225"/>
      <c r="GA18" s="225"/>
      <c r="GB18" s="257"/>
      <c r="GC18" s="226"/>
      <c r="GD18" s="177"/>
      <c r="GE18" s="227"/>
      <c r="GF18" s="227"/>
      <c r="GG18" s="258"/>
      <c r="GH18" s="258"/>
      <c r="GI18" s="173"/>
      <c r="GJ18" s="258"/>
      <c r="GK18" s="258"/>
      <c r="GL18" s="254">
        <v>0</v>
      </c>
      <c r="GM18" s="255"/>
      <c r="GN18" s="173"/>
      <c r="GO18" s="256"/>
      <c r="GP18" s="257"/>
      <c r="GQ18" s="225"/>
      <c r="GR18" s="225"/>
      <c r="GS18" s="257"/>
      <c r="GT18" s="226"/>
      <c r="GU18" s="177"/>
      <c r="GV18" s="227"/>
      <c r="GW18" s="227"/>
      <c r="GX18" s="258"/>
      <c r="GY18" s="258"/>
      <c r="GZ18" s="173"/>
      <c r="HA18" s="258"/>
      <c r="HB18" s="258"/>
      <c r="HC18" s="181">
        <f t="shared" si="3"/>
        <v>1</v>
      </c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183"/>
    </row>
    <row r="19" spans="1:222" ht="22.5" customHeight="1">
      <c r="A19" s="13"/>
      <c r="B19" s="229">
        <v>155081</v>
      </c>
      <c r="C19" s="229" t="s">
        <v>83</v>
      </c>
      <c r="D19" s="230" t="s">
        <v>84</v>
      </c>
      <c r="E19" s="184">
        <v>5</v>
      </c>
      <c r="F19" s="231">
        <v>3</v>
      </c>
      <c r="G19" s="232">
        <v>1</v>
      </c>
      <c r="H19" s="233" t="s">
        <v>53</v>
      </c>
      <c r="I19" s="115" t="s">
        <v>59</v>
      </c>
      <c r="J19" s="116">
        <v>2161.0500000000002</v>
      </c>
      <c r="K19" s="188">
        <v>0.2</v>
      </c>
      <c r="L19" s="1516" t="s">
        <v>60</v>
      </c>
      <c r="M19" s="1457"/>
      <c r="N19" s="118">
        <v>0.4</v>
      </c>
      <c r="O19" s="119" t="s">
        <v>61</v>
      </c>
      <c r="P19" s="189">
        <v>40</v>
      </c>
      <c r="Q19" s="190">
        <v>0</v>
      </c>
      <c r="R19" s="190">
        <v>0</v>
      </c>
      <c r="S19" s="234">
        <v>20.5</v>
      </c>
      <c r="T19" s="234">
        <v>20.5</v>
      </c>
      <c r="U19" s="123" t="s">
        <v>53</v>
      </c>
      <c r="V19" s="235">
        <v>0</v>
      </c>
      <c r="W19" s="125" t="s">
        <v>53</v>
      </c>
      <c r="X19" s="236"/>
      <c r="Y19" s="263" t="s">
        <v>53</v>
      </c>
      <c r="Z19" s="195" t="s">
        <v>59</v>
      </c>
      <c r="AA19" s="129">
        <v>2161.0500000000002</v>
      </c>
      <c r="AB19" s="238">
        <v>0.25</v>
      </c>
      <c r="AC19" s="1515" t="s">
        <v>60</v>
      </c>
      <c r="AD19" s="1457"/>
      <c r="AE19" s="130">
        <v>0.4</v>
      </c>
      <c r="AF19" s="131" t="s">
        <v>61</v>
      </c>
      <c r="AG19" s="132">
        <v>44</v>
      </c>
      <c r="AH19" s="196">
        <v>0</v>
      </c>
      <c r="AI19" s="196">
        <v>0</v>
      </c>
      <c r="AJ19" s="239">
        <v>20.5</v>
      </c>
      <c r="AK19" s="239">
        <v>20.5</v>
      </c>
      <c r="AL19" s="135" t="s">
        <v>53</v>
      </c>
      <c r="AM19" s="240">
        <v>0</v>
      </c>
      <c r="AN19" s="137" t="s">
        <v>53</v>
      </c>
      <c r="AO19" s="241">
        <v>6</v>
      </c>
      <c r="AP19" s="242" t="s">
        <v>53</v>
      </c>
      <c r="AQ19" s="140" t="s">
        <v>62</v>
      </c>
      <c r="AR19" s="141">
        <v>2190.98</v>
      </c>
      <c r="AS19" s="117">
        <v>0.25</v>
      </c>
      <c r="AT19" s="1507" t="s">
        <v>60</v>
      </c>
      <c r="AU19" s="1457"/>
      <c r="AV19" s="243">
        <v>0.2</v>
      </c>
      <c r="AW19" s="119" t="s">
        <v>61</v>
      </c>
      <c r="AX19" s="142">
        <v>44</v>
      </c>
      <c r="AY19" s="190">
        <v>0</v>
      </c>
      <c r="AZ19" s="190">
        <v>0</v>
      </c>
      <c r="BA19" s="234">
        <v>20.5</v>
      </c>
      <c r="BB19" s="234">
        <v>20.5</v>
      </c>
      <c r="BC19" s="123" t="s">
        <v>53</v>
      </c>
      <c r="BD19" s="140">
        <v>1</v>
      </c>
      <c r="BE19" s="125" t="s">
        <v>53</v>
      </c>
      <c r="BF19" s="244">
        <v>4</v>
      </c>
      <c r="BG19" s="245" t="s">
        <v>53</v>
      </c>
      <c r="BH19" s="146" t="s">
        <v>62</v>
      </c>
      <c r="BI19" s="147">
        <v>2190.98</v>
      </c>
      <c r="BJ19" s="246">
        <v>0.25</v>
      </c>
      <c r="BK19" s="1500" t="s">
        <v>60</v>
      </c>
      <c r="BL19" s="1457"/>
      <c r="BM19" s="246">
        <v>0.2</v>
      </c>
      <c r="BN19" s="149" t="s">
        <v>61</v>
      </c>
      <c r="BO19" s="150">
        <v>40</v>
      </c>
      <c r="BP19" s="207">
        <v>0</v>
      </c>
      <c r="BQ19" s="207">
        <v>0</v>
      </c>
      <c r="BR19" s="247">
        <v>20.5</v>
      </c>
      <c r="BS19" s="247">
        <v>20.5</v>
      </c>
      <c r="BT19" s="146" t="s">
        <v>47</v>
      </c>
      <c r="BU19" s="247"/>
      <c r="BV19" s="153" t="s">
        <v>53</v>
      </c>
      <c r="BW19" s="248">
        <v>1</v>
      </c>
      <c r="BX19" s="249" t="s">
        <v>53</v>
      </c>
      <c r="BY19" s="140" t="s">
        <v>62</v>
      </c>
      <c r="BZ19" s="155">
        <v>5637.96</v>
      </c>
      <c r="CA19" s="243">
        <v>0.25</v>
      </c>
      <c r="CB19" s="1499" t="s">
        <v>60</v>
      </c>
      <c r="CC19" s="1457"/>
      <c r="CD19" s="243">
        <v>0.2</v>
      </c>
      <c r="CE19" s="212" t="s">
        <v>63</v>
      </c>
      <c r="CF19" s="156">
        <v>44</v>
      </c>
      <c r="CG19" s="213">
        <v>0</v>
      </c>
      <c r="CH19" s="213">
        <v>0</v>
      </c>
      <c r="CI19" s="143">
        <v>20.5</v>
      </c>
      <c r="CJ19" s="143">
        <v>20.5</v>
      </c>
      <c r="CK19" s="140" t="s">
        <v>53</v>
      </c>
      <c r="CL19" s="143"/>
      <c r="CM19" s="158" t="s">
        <v>53</v>
      </c>
      <c r="CN19" s="250"/>
      <c r="CO19" s="251" t="s">
        <v>53</v>
      </c>
      <c r="CP19" s="161" t="s">
        <v>62</v>
      </c>
      <c r="CQ19" s="162">
        <v>5637.96</v>
      </c>
      <c r="CR19" s="252">
        <v>0.25</v>
      </c>
      <c r="CS19" s="1498" t="s">
        <v>60</v>
      </c>
      <c r="CT19" s="1457"/>
      <c r="CU19" s="252">
        <v>0.2</v>
      </c>
      <c r="CV19" s="218" t="s">
        <v>63</v>
      </c>
      <c r="CW19" s="165">
        <v>44</v>
      </c>
      <c r="CX19" s="219">
        <v>0</v>
      </c>
      <c r="CY19" s="219">
        <v>0</v>
      </c>
      <c r="CZ19" s="253">
        <v>20.5</v>
      </c>
      <c r="DA19" s="253">
        <v>20.5</v>
      </c>
      <c r="DB19" s="167" t="s">
        <v>53</v>
      </c>
      <c r="DC19" s="253"/>
      <c r="DD19" s="168" t="s">
        <v>53</v>
      </c>
      <c r="DE19" s="248"/>
      <c r="DF19" s="249" t="s">
        <v>53</v>
      </c>
      <c r="DG19" s="169" t="s">
        <v>59</v>
      </c>
      <c r="DH19" s="155">
        <v>2161.0500000000002</v>
      </c>
      <c r="DI19" s="243">
        <v>0.25</v>
      </c>
      <c r="DJ19" s="1505" t="s">
        <v>60</v>
      </c>
      <c r="DK19" s="1457"/>
      <c r="DL19" s="243">
        <v>0.2</v>
      </c>
      <c r="DM19" s="119" t="s">
        <v>61</v>
      </c>
      <c r="DN19" s="170">
        <v>40</v>
      </c>
      <c r="DO19" s="213">
        <v>0</v>
      </c>
      <c r="DP19" s="213">
        <v>0</v>
      </c>
      <c r="DQ19" s="143">
        <v>20.5</v>
      </c>
      <c r="DR19" s="143">
        <v>20.5</v>
      </c>
      <c r="DS19" s="140" t="s">
        <v>53</v>
      </c>
      <c r="DT19" s="143"/>
      <c r="DU19" s="158" t="s">
        <v>53</v>
      </c>
      <c r="DV19" s="254">
        <v>0</v>
      </c>
      <c r="DW19" s="255" t="s">
        <v>53</v>
      </c>
      <c r="DX19" s="173" t="s">
        <v>64</v>
      </c>
      <c r="DY19" s="256">
        <v>1854.91</v>
      </c>
      <c r="DZ19" s="257">
        <v>0.25</v>
      </c>
      <c r="EA19" s="1506" t="s">
        <v>60</v>
      </c>
      <c r="EB19" s="1457"/>
      <c r="EC19" s="257">
        <v>0.2</v>
      </c>
      <c r="ED19" s="226" t="s">
        <v>63</v>
      </c>
      <c r="EE19" s="177">
        <v>20</v>
      </c>
      <c r="EF19" s="227">
        <v>0</v>
      </c>
      <c r="EG19" s="227">
        <v>0</v>
      </c>
      <c r="EH19" s="258">
        <v>22</v>
      </c>
      <c r="EI19" s="258">
        <v>22</v>
      </c>
      <c r="EJ19" s="173" t="s">
        <v>47</v>
      </c>
      <c r="EK19" s="258"/>
      <c r="EL19" s="258" t="s">
        <v>47</v>
      </c>
      <c r="EM19" s="254">
        <v>0</v>
      </c>
      <c r="EN19" s="255" t="s">
        <v>53</v>
      </c>
      <c r="EO19" s="173" t="s">
        <v>64</v>
      </c>
      <c r="EP19" s="256">
        <v>2925.11</v>
      </c>
      <c r="EQ19" s="257">
        <v>0.25</v>
      </c>
      <c r="ER19" s="1506" t="s">
        <v>60</v>
      </c>
      <c r="ES19" s="1457"/>
      <c r="ET19" s="257">
        <v>0.2</v>
      </c>
      <c r="EU19" s="226" t="s">
        <v>63</v>
      </c>
      <c r="EV19" s="177">
        <v>44</v>
      </c>
      <c r="EW19" s="227">
        <v>0</v>
      </c>
      <c r="EX19" s="227">
        <v>0</v>
      </c>
      <c r="EY19" s="258">
        <v>22</v>
      </c>
      <c r="EZ19" s="258">
        <v>22</v>
      </c>
      <c r="FA19" s="173" t="s">
        <v>47</v>
      </c>
      <c r="FB19" s="258"/>
      <c r="FC19" s="258" t="s">
        <v>47</v>
      </c>
      <c r="FD19" s="254">
        <v>0</v>
      </c>
      <c r="FE19" s="255" t="s">
        <v>53</v>
      </c>
      <c r="FF19" s="173" t="s">
        <v>64</v>
      </c>
      <c r="FG19" s="256">
        <v>1741.45</v>
      </c>
      <c r="FH19" s="257">
        <v>0.25</v>
      </c>
      <c r="FI19" s="1506" t="s">
        <v>60</v>
      </c>
      <c r="FJ19" s="1457"/>
      <c r="FK19" s="257">
        <v>0.2</v>
      </c>
      <c r="FL19" s="226" t="s">
        <v>65</v>
      </c>
      <c r="FM19" s="177">
        <v>44</v>
      </c>
      <c r="FN19" s="227">
        <f t="shared" ref="FN19:FN21" si="14">IFERROR((52/(IF(FE19="S",FD19+(IF(Y19="S",X19,0))+(IF(AS19="S",AR19,0)),0)))/12,0)</f>
        <v>0</v>
      </c>
      <c r="FO19" s="227">
        <f t="shared" ref="FO19:FO21" si="15">IFERROR(((52+12)/(IF(FE19="S",FD19+(IF(Y19="S",X19,0))+(IF(AS19="S",AR19,0)),0)))/12,0)</f>
        <v>0</v>
      </c>
      <c r="FP19" s="258">
        <v>9</v>
      </c>
      <c r="FQ19" s="258"/>
      <c r="FR19" s="173" t="s">
        <v>47</v>
      </c>
      <c r="FS19" s="258"/>
      <c r="FT19" s="258"/>
      <c r="FU19" s="254">
        <v>0</v>
      </c>
      <c r="FV19" s="255" t="s">
        <v>53</v>
      </c>
      <c r="FW19" s="173" t="s">
        <v>66</v>
      </c>
      <c r="FX19" s="256">
        <v>0</v>
      </c>
      <c r="FY19" s="257">
        <v>0.25</v>
      </c>
      <c r="FZ19" s="1506" t="s">
        <v>60</v>
      </c>
      <c r="GA19" s="1457"/>
      <c r="GB19" s="257">
        <v>0.2</v>
      </c>
      <c r="GC19" s="226" t="s">
        <v>63</v>
      </c>
      <c r="GD19" s="177">
        <v>44</v>
      </c>
      <c r="GE19" s="227">
        <f t="shared" ref="GE19:GE21" si="16">IFERROR((52/(IF(FV19="S",FU19+(IF(Y19="S",X19,0))+(IF(AS19="S",AR19,0)),0)))/12,0)</f>
        <v>0</v>
      </c>
      <c r="GF19" s="227">
        <f t="shared" ref="GF19:GF21" si="17">IFERROR(((52+12)/(IF(FV19="S",FU19+(IF(Y19="S",X19,0))+(IF(AS19="S",AR19,0)),0)))/12,0)</f>
        <v>0</v>
      </c>
      <c r="GG19" s="258">
        <v>0</v>
      </c>
      <c r="GH19" s="258"/>
      <c r="GI19" s="173" t="s">
        <v>47</v>
      </c>
      <c r="GJ19" s="258"/>
      <c r="GK19" s="258"/>
      <c r="GL19" s="254">
        <v>0</v>
      </c>
      <c r="GM19" s="255" t="s">
        <v>53</v>
      </c>
      <c r="GN19" s="173" t="s">
        <v>66</v>
      </c>
      <c r="GO19" s="256">
        <v>0</v>
      </c>
      <c r="GP19" s="257">
        <v>0.25</v>
      </c>
      <c r="GQ19" s="1506" t="s">
        <v>60</v>
      </c>
      <c r="GR19" s="1457"/>
      <c r="GS19" s="257">
        <v>0.2</v>
      </c>
      <c r="GT19" s="226" t="s">
        <v>63</v>
      </c>
      <c r="GU19" s="177">
        <v>44</v>
      </c>
      <c r="GV19" s="227">
        <f t="shared" ref="GV19:GV21" si="18">IFERROR((52/(IF(GM19="S",GL19+(IF(Y19="S",X19,0))+(IF(AS19="S",AR19,0)),0)))/12,0)</f>
        <v>0</v>
      </c>
      <c r="GW19" s="227">
        <f t="shared" ref="GW19:GW21" si="19">IFERROR(((52+12)/(IF(GM19="S",GL19+(IF(Y19="S",X19,0))+(IF(AS19="S",AR19,0)),0)))/12,0)</f>
        <v>0</v>
      </c>
      <c r="GX19" s="258">
        <v>0</v>
      </c>
      <c r="GY19" s="258"/>
      <c r="GZ19" s="173" t="s">
        <v>47</v>
      </c>
      <c r="HA19" s="258"/>
      <c r="HB19" s="258"/>
      <c r="HC19" s="181">
        <f t="shared" si="3"/>
        <v>12</v>
      </c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183">
        <f t="shared" ref="HN19:HN21" si="20">G19+X19+AO19+BF19+BW19+CN19+DE19+DV19+EM19+FD19+FU19+GL19</f>
        <v>12</v>
      </c>
    </row>
    <row r="20" spans="1:222" ht="22.5" customHeight="1">
      <c r="A20" s="13"/>
      <c r="B20" s="229">
        <v>158266</v>
      </c>
      <c r="C20" s="229" t="s">
        <v>85</v>
      </c>
      <c r="D20" s="230" t="s">
        <v>86</v>
      </c>
      <c r="E20" s="276">
        <v>0</v>
      </c>
      <c r="F20" s="231">
        <v>3</v>
      </c>
      <c r="G20" s="232">
        <v>2</v>
      </c>
      <c r="H20" s="233" t="s">
        <v>53</v>
      </c>
      <c r="I20" s="115" t="s">
        <v>59</v>
      </c>
      <c r="J20" s="116">
        <v>2161.0500000000002</v>
      </c>
      <c r="K20" s="188">
        <v>0.2</v>
      </c>
      <c r="L20" s="1516" t="s">
        <v>60</v>
      </c>
      <c r="M20" s="1457"/>
      <c r="N20" s="118">
        <v>0.4</v>
      </c>
      <c r="O20" s="119" t="s">
        <v>61</v>
      </c>
      <c r="P20" s="189">
        <v>40</v>
      </c>
      <c r="Q20" s="190">
        <v>0</v>
      </c>
      <c r="R20" s="190">
        <v>0</v>
      </c>
      <c r="S20" s="234">
        <v>20.5</v>
      </c>
      <c r="T20" s="234">
        <v>20.5</v>
      </c>
      <c r="U20" s="123" t="s">
        <v>53</v>
      </c>
      <c r="V20" s="235">
        <v>0</v>
      </c>
      <c r="W20" s="125" t="s">
        <v>53</v>
      </c>
      <c r="X20" s="236"/>
      <c r="Y20" s="237" t="s">
        <v>53</v>
      </c>
      <c r="Z20" s="195" t="s">
        <v>59</v>
      </c>
      <c r="AA20" s="129">
        <v>2161.0500000000002</v>
      </c>
      <c r="AB20" s="238">
        <v>0.25</v>
      </c>
      <c r="AC20" s="1515" t="s">
        <v>60</v>
      </c>
      <c r="AD20" s="1457"/>
      <c r="AE20" s="130">
        <v>0.4</v>
      </c>
      <c r="AF20" s="131" t="s">
        <v>61</v>
      </c>
      <c r="AG20" s="132">
        <v>44</v>
      </c>
      <c r="AH20" s="196">
        <v>0</v>
      </c>
      <c r="AI20" s="196">
        <v>0</v>
      </c>
      <c r="AJ20" s="239">
        <v>20.5</v>
      </c>
      <c r="AK20" s="239">
        <v>20.5</v>
      </c>
      <c r="AL20" s="135" t="s">
        <v>53</v>
      </c>
      <c r="AM20" s="240">
        <v>0</v>
      </c>
      <c r="AN20" s="137" t="s">
        <v>53</v>
      </c>
      <c r="AO20" s="241">
        <v>6</v>
      </c>
      <c r="AP20" s="242" t="s">
        <v>53</v>
      </c>
      <c r="AQ20" s="140" t="s">
        <v>62</v>
      </c>
      <c r="AR20" s="141">
        <v>2190.98</v>
      </c>
      <c r="AS20" s="117">
        <v>0.25</v>
      </c>
      <c r="AT20" s="1507" t="s">
        <v>60</v>
      </c>
      <c r="AU20" s="1457"/>
      <c r="AV20" s="243">
        <v>0.2</v>
      </c>
      <c r="AW20" s="119" t="s">
        <v>61</v>
      </c>
      <c r="AX20" s="142">
        <v>44</v>
      </c>
      <c r="AY20" s="190">
        <v>0</v>
      </c>
      <c r="AZ20" s="190">
        <v>0</v>
      </c>
      <c r="BA20" s="234">
        <v>20.5</v>
      </c>
      <c r="BB20" s="234">
        <v>20.5</v>
      </c>
      <c r="BC20" s="123" t="s">
        <v>53</v>
      </c>
      <c r="BD20" s="140">
        <v>1</v>
      </c>
      <c r="BE20" s="125" t="s">
        <v>53</v>
      </c>
      <c r="BF20" s="244"/>
      <c r="BG20" s="245" t="s">
        <v>53</v>
      </c>
      <c r="BH20" s="146" t="s">
        <v>62</v>
      </c>
      <c r="BI20" s="147">
        <v>2190.98</v>
      </c>
      <c r="BJ20" s="246">
        <v>0.25</v>
      </c>
      <c r="BK20" s="1500" t="s">
        <v>60</v>
      </c>
      <c r="BL20" s="1457"/>
      <c r="BM20" s="246">
        <v>0.2</v>
      </c>
      <c r="BN20" s="149" t="s">
        <v>61</v>
      </c>
      <c r="BO20" s="150">
        <v>40</v>
      </c>
      <c r="BP20" s="207">
        <v>0</v>
      </c>
      <c r="BQ20" s="207">
        <v>0</v>
      </c>
      <c r="BR20" s="247">
        <v>20.5</v>
      </c>
      <c r="BS20" s="247">
        <v>20.5</v>
      </c>
      <c r="BT20" s="146" t="s">
        <v>47</v>
      </c>
      <c r="BU20" s="247"/>
      <c r="BV20" s="153" t="s">
        <v>53</v>
      </c>
      <c r="BW20" s="248">
        <v>1</v>
      </c>
      <c r="BX20" s="249" t="s">
        <v>53</v>
      </c>
      <c r="BY20" s="140" t="s">
        <v>62</v>
      </c>
      <c r="BZ20" s="155">
        <v>5637.96</v>
      </c>
      <c r="CA20" s="243">
        <v>0.25</v>
      </c>
      <c r="CB20" s="1499" t="s">
        <v>60</v>
      </c>
      <c r="CC20" s="1457"/>
      <c r="CD20" s="243">
        <v>0.2</v>
      </c>
      <c r="CE20" s="212" t="s">
        <v>63</v>
      </c>
      <c r="CF20" s="156">
        <v>44</v>
      </c>
      <c r="CG20" s="213">
        <v>0</v>
      </c>
      <c r="CH20" s="213">
        <v>0</v>
      </c>
      <c r="CI20" s="143">
        <v>20.5</v>
      </c>
      <c r="CJ20" s="143">
        <v>20.5</v>
      </c>
      <c r="CK20" s="140" t="s">
        <v>53</v>
      </c>
      <c r="CL20" s="143"/>
      <c r="CM20" s="158" t="s">
        <v>53</v>
      </c>
      <c r="CN20" s="250"/>
      <c r="CO20" s="251" t="s">
        <v>53</v>
      </c>
      <c r="CP20" s="161" t="s">
        <v>62</v>
      </c>
      <c r="CQ20" s="162">
        <v>5637.96</v>
      </c>
      <c r="CR20" s="252">
        <v>0.25</v>
      </c>
      <c r="CS20" s="1498" t="s">
        <v>60</v>
      </c>
      <c r="CT20" s="1457"/>
      <c r="CU20" s="252">
        <v>0.2</v>
      </c>
      <c r="CV20" s="218" t="s">
        <v>63</v>
      </c>
      <c r="CW20" s="165">
        <v>44</v>
      </c>
      <c r="CX20" s="219">
        <v>0</v>
      </c>
      <c r="CY20" s="219">
        <v>0</v>
      </c>
      <c r="CZ20" s="253">
        <v>20.5</v>
      </c>
      <c r="DA20" s="253">
        <v>20.5</v>
      </c>
      <c r="DB20" s="167" t="s">
        <v>53</v>
      </c>
      <c r="DC20" s="253"/>
      <c r="DD20" s="168" t="s">
        <v>53</v>
      </c>
      <c r="DE20" s="248"/>
      <c r="DF20" s="249" t="s">
        <v>53</v>
      </c>
      <c r="DG20" s="169" t="s">
        <v>59</v>
      </c>
      <c r="DH20" s="155">
        <v>2161.0500000000002</v>
      </c>
      <c r="DI20" s="243">
        <v>0.25</v>
      </c>
      <c r="DJ20" s="1505" t="s">
        <v>60</v>
      </c>
      <c r="DK20" s="1457"/>
      <c r="DL20" s="243">
        <v>0.2</v>
      </c>
      <c r="DM20" s="119" t="s">
        <v>61</v>
      </c>
      <c r="DN20" s="170">
        <v>40</v>
      </c>
      <c r="DO20" s="213">
        <v>0</v>
      </c>
      <c r="DP20" s="213">
        <v>0</v>
      </c>
      <c r="DQ20" s="143">
        <v>20.5</v>
      </c>
      <c r="DR20" s="143">
        <v>20.5</v>
      </c>
      <c r="DS20" s="140" t="s">
        <v>53</v>
      </c>
      <c r="DT20" s="143"/>
      <c r="DU20" s="158" t="s">
        <v>53</v>
      </c>
      <c r="DV20" s="254">
        <v>0</v>
      </c>
      <c r="DW20" s="255" t="s">
        <v>53</v>
      </c>
      <c r="DX20" s="173" t="s">
        <v>64</v>
      </c>
      <c r="DY20" s="256">
        <v>1854.91</v>
      </c>
      <c r="DZ20" s="257">
        <v>0.25</v>
      </c>
      <c r="EA20" s="1506" t="s">
        <v>60</v>
      </c>
      <c r="EB20" s="1457"/>
      <c r="EC20" s="257">
        <v>0.2</v>
      </c>
      <c r="ED20" s="226" t="s">
        <v>63</v>
      </c>
      <c r="EE20" s="177">
        <v>20</v>
      </c>
      <c r="EF20" s="227">
        <v>0</v>
      </c>
      <c r="EG20" s="227">
        <v>0</v>
      </c>
      <c r="EH20" s="258">
        <v>22</v>
      </c>
      <c r="EI20" s="258">
        <v>22</v>
      </c>
      <c r="EJ20" s="173" t="s">
        <v>47</v>
      </c>
      <c r="EK20" s="258"/>
      <c r="EL20" s="258" t="s">
        <v>47</v>
      </c>
      <c r="EM20" s="254">
        <v>0</v>
      </c>
      <c r="EN20" s="255" t="s">
        <v>53</v>
      </c>
      <c r="EO20" s="173" t="s">
        <v>64</v>
      </c>
      <c r="EP20" s="256">
        <v>2925.11</v>
      </c>
      <c r="EQ20" s="257">
        <v>0.25</v>
      </c>
      <c r="ER20" s="1506" t="s">
        <v>60</v>
      </c>
      <c r="ES20" s="1457"/>
      <c r="ET20" s="257">
        <v>0.2</v>
      </c>
      <c r="EU20" s="226" t="s">
        <v>63</v>
      </c>
      <c r="EV20" s="177">
        <v>44</v>
      </c>
      <c r="EW20" s="227">
        <v>0</v>
      </c>
      <c r="EX20" s="227">
        <v>0</v>
      </c>
      <c r="EY20" s="258">
        <v>22</v>
      </c>
      <c r="EZ20" s="258">
        <v>22</v>
      </c>
      <c r="FA20" s="173" t="s">
        <v>47</v>
      </c>
      <c r="FB20" s="258"/>
      <c r="FC20" s="258" t="s">
        <v>47</v>
      </c>
      <c r="FD20" s="254">
        <v>0</v>
      </c>
      <c r="FE20" s="255" t="s">
        <v>53</v>
      </c>
      <c r="FF20" s="173" t="s">
        <v>64</v>
      </c>
      <c r="FG20" s="256">
        <v>1741.45</v>
      </c>
      <c r="FH20" s="257">
        <v>0.25</v>
      </c>
      <c r="FI20" s="1506" t="s">
        <v>60</v>
      </c>
      <c r="FJ20" s="1457"/>
      <c r="FK20" s="257">
        <v>0.2</v>
      </c>
      <c r="FL20" s="226" t="s">
        <v>65</v>
      </c>
      <c r="FM20" s="177">
        <v>44</v>
      </c>
      <c r="FN20" s="227">
        <f t="shared" si="14"/>
        <v>0</v>
      </c>
      <c r="FO20" s="227">
        <f t="shared" si="15"/>
        <v>0</v>
      </c>
      <c r="FP20" s="258">
        <v>9</v>
      </c>
      <c r="FQ20" s="258"/>
      <c r="FR20" s="173" t="s">
        <v>47</v>
      </c>
      <c r="FS20" s="258"/>
      <c r="FT20" s="258"/>
      <c r="FU20" s="254">
        <v>0</v>
      </c>
      <c r="FV20" s="255" t="s">
        <v>53</v>
      </c>
      <c r="FW20" s="173" t="s">
        <v>66</v>
      </c>
      <c r="FX20" s="256">
        <v>0</v>
      </c>
      <c r="FY20" s="257">
        <v>0.25</v>
      </c>
      <c r="FZ20" s="1506" t="s">
        <v>60</v>
      </c>
      <c r="GA20" s="1457"/>
      <c r="GB20" s="257">
        <v>0.2</v>
      </c>
      <c r="GC20" s="226" t="s">
        <v>63</v>
      </c>
      <c r="GD20" s="177">
        <v>44</v>
      </c>
      <c r="GE20" s="227">
        <f t="shared" si="16"/>
        <v>0</v>
      </c>
      <c r="GF20" s="227">
        <f t="shared" si="17"/>
        <v>0</v>
      </c>
      <c r="GG20" s="258">
        <v>0</v>
      </c>
      <c r="GH20" s="258"/>
      <c r="GI20" s="173" t="s">
        <v>47</v>
      </c>
      <c r="GJ20" s="258"/>
      <c r="GK20" s="258"/>
      <c r="GL20" s="254">
        <v>0</v>
      </c>
      <c r="GM20" s="255" t="s">
        <v>53</v>
      </c>
      <c r="GN20" s="173" t="s">
        <v>66</v>
      </c>
      <c r="GO20" s="256">
        <v>0</v>
      </c>
      <c r="GP20" s="257">
        <v>0.25</v>
      </c>
      <c r="GQ20" s="1506" t="s">
        <v>60</v>
      </c>
      <c r="GR20" s="1457"/>
      <c r="GS20" s="257">
        <v>0.2</v>
      </c>
      <c r="GT20" s="226" t="s">
        <v>63</v>
      </c>
      <c r="GU20" s="177">
        <v>44</v>
      </c>
      <c r="GV20" s="227">
        <f t="shared" si="18"/>
        <v>0</v>
      </c>
      <c r="GW20" s="227">
        <f t="shared" si="19"/>
        <v>0</v>
      </c>
      <c r="GX20" s="258">
        <v>0</v>
      </c>
      <c r="GY20" s="258"/>
      <c r="GZ20" s="173" t="s">
        <v>47</v>
      </c>
      <c r="HA20" s="258"/>
      <c r="HB20" s="258"/>
      <c r="HC20" s="181">
        <f t="shared" si="3"/>
        <v>9</v>
      </c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183">
        <f t="shared" si="20"/>
        <v>9</v>
      </c>
    </row>
    <row r="21" spans="1:222" ht="22.5" customHeight="1">
      <c r="A21" s="13"/>
      <c r="B21" s="229">
        <v>158503</v>
      </c>
      <c r="C21" s="229" t="s">
        <v>87</v>
      </c>
      <c r="D21" s="230" t="s">
        <v>88</v>
      </c>
      <c r="E21" s="184">
        <v>4.8</v>
      </c>
      <c r="F21" s="231">
        <v>3</v>
      </c>
      <c r="G21" s="232">
        <v>2</v>
      </c>
      <c r="H21" s="233" t="s">
        <v>53</v>
      </c>
      <c r="I21" s="115" t="s">
        <v>59</v>
      </c>
      <c r="J21" s="116">
        <v>2161.0500000000002</v>
      </c>
      <c r="K21" s="188">
        <v>0.2</v>
      </c>
      <c r="L21" s="1516" t="s">
        <v>60</v>
      </c>
      <c r="M21" s="1457"/>
      <c r="N21" s="118">
        <v>0.4</v>
      </c>
      <c r="O21" s="119" t="s">
        <v>61</v>
      </c>
      <c r="P21" s="189">
        <v>40</v>
      </c>
      <c r="Q21" s="190">
        <v>0</v>
      </c>
      <c r="R21" s="190">
        <v>0</v>
      </c>
      <c r="S21" s="234">
        <v>20.5</v>
      </c>
      <c r="T21" s="234">
        <v>20.5</v>
      </c>
      <c r="U21" s="123" t="s">
        <v>53</v>
      </c>
      <c r="V21" s="235">
        <v>0</v>
      </c>
      <c r="W21" s="125" t="s">
        <v>53</v>
      </c>
      <c r="X21" s="236">
        <v>1</v>
      </c>
      <c r="Y21" s="237" t="s">
        <v>53</v>
      </c>
      <c r="Z21" s="195" t="s">
        <v>59</v>
      </c>
      <c r="AA21" s="129">
        <v>2161.0500000000002</v>
      </c>
      <c r="AB21" s="238">
        <v>0.25</v>
      </c>
      <c r="AC21" s="1515" t="s">
        <v>60</v>
      </c>
      <c r="AD21" s="1457"/>
      <c r="AE21" s="130">
        <v>0.4</v>
      </c>
      <c r="AF21" s="131" t="s">
        <v>61</v>
      </c>
      <c r="AG21" s="132">
        <v>44</v>
      </c>
      <c r="AH21" s="196">
        <v>0</v>
      </c>
      <c r="AI21" s="196">
        <v>0</v>
      </c>
      <c r="AJ21" s="239">
        <v>20.5</v>
      </c>
      <c r="AK21" s="239">
        <v>20.5</v>
      </c>
      <c r="AL21" s="135" t="s">
        <v>53</v>
      </c>
      <c r="AM21" s="240">
        <v>0</v>
      </c>
      <c r="AN21" s="137" t="s">
        <v>53</v>
      </c>
      <c r="AO21" s="241">
        <v>8</v>
      </c>
      <c r="AP21" s="242" t="s">
        <v>53</v>
      </c>
      <c r="AQ21" s="140" t="s">
        <v>62</v>
      </c>
      <c r="AR21" s="141">
        <v>2190.98</v>
      </c>
      <c r="AS21" s="117">
        <v>0.25</v>
      </c>
      <c r="AT21" s="1507" t="s">
        <v>60</v>
      </c>
      <c r="AU21" s="1457"/>
      <c r="AV21" s="243">
        <v>0.2</v>
      </c>
      <c r="AW21" s="119" t="s">
        <v>61</v>
      </c>
      <c r="AX21" s="142">
        <v>44</v>
      </c>
      <c r="AY21" s="190">
        <v>0</v>
      </c>
      <c r="AZ21" s="190">
        <v>0</v>
      </c>
      <c r="BA21" s="234">
        <v>20.5</v>
      </c>
      <c r="BB21" s="234">
        <v>20.5</v>
      </c>
      <c r="BC21" s="123" t="s">
        <v>53</v>
      </c>
      <c r="BD21" s="140">
        <v>1</v>
      </c>
      <c r="BE21" s="125" t="s">
        <v>53</v>
      </c>
      <c r="BF21" s="244">
        <v>3</v>
      </c>
      <c r="BG21" s="245" t="s">
        <v>53</v>
      </c>
      <c r="BH21" s="146" t="s">
        <v>62</v>
      </c>
      <c r="BI21" s="147">
        <v>2190.98</v>
      </c>
      <c r="BJ21" s="246">
        <v>0.25</v>
      </c>
      <c r="BK21" s="1500" t="s">
        <v>60</v>
      </c>
      <c r="BL21" s="1457"/>
      <c r="BM21" s="246">
        <v>0.2</v>
      </c>
      <c r="BN21" s="149" t="s">
        <v>61</v>
      </c>
      <c r="BO21" s="150">
        <v>40</v>
      </c>
      <c r="BP21" s="207">
        <v>0</v>
      </c>
      <c r="BQ21" s="207">
        <v>0</v>
      </c>
      <c r="BR21" s="247">
        <v>20.5</v>
      </c>
      <c r="BS21" s="247">
        <v>20.5</v>
      </c>
      <c r="BT21" s="146" t="s">
        <v>47</v>
      </c>
      <c r="BU21" s="247"/>
      <c r="BV21" s="153" t="s">
        <v>53</v>
      </c>
      <c r="BW21" s="248"/>
      <c r="BX21" s="249" t="s">
        <v>53</v>
      </c>
      <c r="BY21" s="140" t="s">
        <v>62</v>
      </c>
      <c r="BZ21" s="155">
        <v>5637.96</v>
      </c>
      <c r="CA21" s="243">
        <v>0.25</v>
      </c>
      <c r="CB21" s="1499" t="s">
        <v>60</v>
      </c>
      <c r="CC21" s="1457"/>
      <c r="CD21" s="243">
        <v>0.2</v>
      </c>
      <c r="CE21" s="212" t="s">
        <v>63</v>
      </c>
      <c r="CF21" s="156">
        <v>44</v>
      </c>
      <c r="CG21" s="213">
        <v>0</v>
      </c>
      <c r="CH21" s="213">
        <v>0</v>
      </c>
      <c r="CI21" s="143">
        <v>20.5</v>
      </c>
      <c r="CJ21" s="143">
        <v>20.5</v>
      </c>
      <c r="CK21" s="140" t="s">
        <v>53</v>
      </c>
      <c r="CL21" s="143"/>
      <c r="CM21" s="158" t="s">
        <v>53</v>
      </c>
      <c r="CN21" s="250"/>
      <c r="CO21" s="251" t="s">
        <v>53</v>
      </c>
      <c r="CP21" s="161" t="s">
        <v>62</v>
      </c>
      <c r="CQ21" s="162">
        <v>5637.96</v>
      </c>
      <c r="CR21" s="252">
        <v>0.25</v>
      </c>
      <c r="CS21" s="1498" t="s">
        <v>60</v>
      </c>
      <c r="CT21" s="1457"/>
      <c r="CU21" s="252">
        <v>0.2</v>
      </c>
      <c r="CV21" s="218" t="s">
        <v>63</v>
      </c>
      <c r="CW21" s="165">
        <v>44</v>
      </c>
      <c r="CX21" s="219">
        <v>0</v>
      </c>
      <c r="CY21" s="219">
        <v>0</v>
      </c>
      <c r="CZ21" s="253">
        <v>20.5</v>
      </c>
      <c r="DA21" s="253">
        <v>20.5</v>
      </c>
      <c r="DB21" s="167" t="s">
        <v>53</v>
      </c>
      <c r="DC21" s="253"/>
      <c r="DD21" s="168" t="s">
        <v>53</v>
      </c>
      <c r="DE21" s="248"/>
      <c r="DF21" s="249" t="s">
        <v>53</v>
      </c>
      <c r="DG21" s="169" t="s">
        <v>59</v>
      </c>
      <c r="DH21" s="155">
        <v>2161.0500000000002</v>
      </c>
      <c r="DI21" s="243">
        <v>0.25</v>
      </c>
      <c r="DJ21" s="1505" t="s">
        <v>60</v>
      </c>
      <c r="DK21" s="1457"/>
      <c r="DL21" s="243">
        <v>0.2</v>
      </c>
      <c r="DM21" s="119" t="s">
        <v>61</v>
      </c>
      <c r="DN21" s="170">
        <v>40</v>
      </c>
      <c r="DO21" s="213">
        <v>0</v>
      </c>
      <c r="DP21" s="213">
        <v>0</v>
      </c>
      <c r="DQ21" s="143">
        <v>20.5</v>
      </c>
      <c r="DR21" s="143">
        <v>20.5</v>
      </c>
      <c r="DS21" s="140" t="s">
        <v>53</v>
      </c>
      <c r="DT21" s="143"/>
      <c r="DU21" s="158" t="s">
        <v>53</v>
      </c>
      <c r="DV21" s="254">
        <v>0</v>
      </c>
      <c r="DW21" s="255" t="s">
        <v>53</v>
      </c>
      <c r="DX21" s="173" t="s">
        <v>64</v>
      </c>
      <c r="DY21" s="256">
        <v>1854.91</v>
      </c>
      <c r="DZ21" s="257">
        <v>0.25</v>
      </c>
      <c r="EA21" s="1506" t="s">
        <v>60</v>
      </c>
      <c r="EB21" s="1457"/>
      <c r="EC21" s="257">
        <v>0.2</v>
      </c>
      <c r="ED21" s="226" t="s">
        <v>63</v>
      </c>
      <c r="EE21" s="177">
        <v>20</v>
      </c>
      <c r="EF21" s="227">
        <v>0</v>
      </c>
      <c r="EG21" s="227">
        <v>0</v>
      </c>
      <c r="EH21" s="258">
        <v>22</v>
      </c>
      <c r="EI21" s="258">
        <v>22</v>
      </c>
      <c r="EJ21" s="173" t="s">
        <v>47</v>
      </c>
      <c r="EK21" s="258"/>
      <c r="EL21" s="258" t="s">
        <v>47</v>
      </c>
      <c r="EM21" s="254">
        <v>0</v>
      </c>
      <c r="EN21" s="255" t="s">
        <v>53</v>
      </c>
      <c r="EO21" s="173" t="s">
        <v>64</v>
      </c>
      <c r="EP21" s="256">
        <v>2925.11</v>
      </c>
      <c r="EQ21" s="257">
        <v>0.25</v>
      </c>
      <c r="ER21" s="1506" t="s">
        <v>60</v>
      </c>
      <c r="ES21" s="1457"/>
      <c r="ET21" s="257">
        <v>0.2</v>
      </c>
      <c r="EU21" s="226" t="s">
        <v>63</v>
      </c>
      <c r="EV21" s="177">
        <v>44</v>
      </c>
      <c r="EW21" s="227">
        <v>0</v>
      </c>
      <c r="EX21" s="227">
        <v>0</v>
      </c>
      <c r="EY21" s="258">
        <v>22</v>
      </c>
      <c r="EZ21" s="258">
        <v>22</v>
      </c>
      <c r="FA21" s="173" t="s">
        <v>47</v>
      </c>
      <c r="FB21" s="258"/>
      <c r="FC21" s="258" t="s">
        <v>47</v>
      </c>
      <c r="FD21" s="254">
        <v>0</v>
      </c>
      <c r="FE21" s="255" t="s">
        <v>53</v>
      </c>
      <c r="FF21" s="173" t="s">
        <v>64</v>
      </c>
      <c r="FG21" s="256">
        <v>1741.45</v>
      </c>
      <c r="FH21" s="257">
        <v>0.25</v>
      </c>
      <c r="FI21" s="1506" t="s">
        <v>60</v>
      </c>
      <c r="FJ21" s="1457"/>
      <c r="FK21" s="257">
        <v>0.2</v>
      </c>
      <c r="FL21" s="226" t="s">
        <v>65</v>
      </c>
      <c r="FM21" s="177">
        <v>44</v>
      </c>
      <c r="FN21" s="227">
        <f t="shared" si="14"/>
        <v>0</v>
      </c>
      <c r="FO21" s="227">
        <f t="shared" si="15"/>
        <v>0</v>
      </c>
      <c r="FP21" s="258">
        <v>9</v>
      </c>
      <c r="FQ21" s="258"/>
      <c r="FR21" s="173" t="s">
        <v>47</v>
      </c>
      <c r="FS21" s="258"/>
      <c r="FT21" s="258"/>
      <c r="FU21" s="254">
        <v>0</v>
      </c>
      <c r="FV21" s="255" t="s">
        <v>53</v>
      </c>
      <c r="FW21" s="173" t="s">
        <v>66</v>
      </c>
      <c r="FX21" s="256">
        <v>0</v>
      </c>
      <c r="FY21" s="257">
        <v>0.25</v>
      </c>
      <c r="FZ21" s="1506" t="s">
        <v>60</v>
      </c>
      <c r="GA21" s="1457"/>
      <c r="GB21" s="257">
        <v>0.2</v>
      </c>
      <c r="GC21" s="226" t="s">
        <v>63</v>
      </c>
      <c r="GD21" s="177">
        <v>44</v>
      </c>
      <c r="GE21" s="227">
        <f t="shared" si="16"/>
        <v>0</v>
      </c>
      <c r="GF21" s="227">
        <f t="shared" si="17"/>
        <v>0</v>
      </c>
      <c r="GG21" s="258">
        <v>0</v>
      </c>
      <c r="GH21" s="258"/>
      <c r="GI21" s="173" t="s">
        <v>47</v>
      </c>
      <c r="GJ21" s="258"/>
      <c r="GK21" s="258"/>
      <c r="GL21" s="254">
        <v>0</v>
      </c>
      <c r="GM21" s="255" t="s">
        <v>53</v>
      </c>
      <c r="GN21" s="173" t="s">
        <v>66</v>
      </c>
      <c r="GO21" s="256">
        <v>0</v>
      </c>
      <c r="GP21" s="257">
        <v>0.25</v>
      </c>
      <c r="GQ21" s="1506" t="s">
        <v>60</v>
      </c>
      <c r="GR21" s="1457"/>
      <c r="GS21" s="257">
        <v>0.2</v>
      </c>
      <c r="GT21" s="226" t="s">
        <v>63</v>
      </c>
      <c r="GU21" s="177">
        <v>44</v>
      </c>
      <c r="GV21" s="227">
        <f t="shared" si="18"/>
        <v>0</v>
      </c>
      <c r="GW21" s="227">
        <f t="shared" si="19"/>
        <v>0</v>
      </c>
      <c r="GX21" s="258">
        <v>0</v>
      </c>
      <c r="GY21" s="258"/>
      <c r="GZ21" s="173" t="s">
        <v>47</v>
      </c>
      <c r="HA21" s="258"/>
      <c r="HB21" s="258"/>
      <c r="HC21" s="181">
        <f t="shared" si="3"/>
        <v>14</v>
      </c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183">
        <f t="shared" si="20"/>
        <v>14</v>
      </c>
    </row>
    <row r="22" spans="1:222" ht="22.5" customHeight="1">
      <c r="A22" s="108"/>
      <c r="B22" s="229"/>
      <c r="C22" s="229"/>
      <c r="D22" s="230" t="s">
        <v>89</v>
      </c>
      <c r="E22" s="276">
        <v>0</v>
      </c>
      <c r="F22" s="231">
        <v>3</v>
      </c>
      <c r="G22" s="232"/>
      <c r="H22" s="277" t="s">
        <v>53</v>
      </c>
      <c r="I22" s="115" t="s">
        <v>59</v>
      </c>
      <c r="J22" s="116">
        <v>2161.0500000000002</v>
      </c>
      <c r="K22" s="188">
        <v>0.2</v>
      </c>
      <c r="L22" s="1516" t="s">
        <v>60</v>
      </c>
      <c r="M22" s="1457"/>
      <c r="N22" s="118">
        <v>0.4</v>
      </c>
      <c r="O22" s="119" t="s">
        <v>61</v>
      </c>
      <c r="P22" s="120">
        <v>40</v>
      </c>
      <c r="Q22" s="278">
        <v>0</v>
      </c>
      <c r="R22" s="278">
        <v>0</v>
      </c>
      <c r="S22" s="279">
        <v>20.5</v>
      </c>
      <c r="T22" s="279">
        <v>20.5</v>
      </c>
      <c r="U22" s="123" t="s">
        <v>53</v>
      </c>
      <c r="V22" s="262"/>
      <c r="W22" s="125" t="s">
        <v>53</v>
      </c>
      <c r="X22" s="236"/>
      <c r="Y22" s="237" t="s">
        <v>53</v>
      </c>
      <c r="Z22" s="195" t="s">
        <v>59</v>
      </c>
      <c r="AA22" s="129">
        <v>2161.0500000000002</v>
      </c>
      <c r="AB22" s="238">
        <v>0.25</v>
      </c>
      <c r="AC22" s="1515" t="s">
        <v>60</v>
      </c>
      <c r="AD22" s="1457"/>
      <c r="AE22" s="130">
        <v>0.4</v>
      </c>
      <c r="AF22" s="131" t="s">
        <v>61</v>
      </c>
      <c r="AG22" s="132">
        <v>44</v>
      </c>
      <c r="AH22" s="280">
        <v>0</v>
      </c>
      <c r="AI22" s="280">
        <v>0</v>
      </c>
      <c r="AJ22" s="281">
        <v>20.5</v>
      </c>
      <c r="AK22" s="281">
        <v>20.5</v>
      </c>
      <c r="AL22" s="135" t="s">
        <v>53</v>
      </c>
      <c r="AM22" s="240"/>
      <c r="AN22" s="137" t="s">
        <v>53</v>
      </c>
      <c r="AO22" s="241"/>
      <c r="AP22" s="242" t="s">
        <v>53</v>
      </c>
      <c r="AQ22" s="140" t="s">
        <v>62</v>
      </c>
      <c r="AR22" s="141">
        <v>2190.98</v>
      </c>
      <c r="AS22" s="117">
        <v>0.25</v>
      </c>
      <c r="AT22" s="1507" t="s">
        <v>60</v>
      </c>
      <c r="AU22" s="1457"/>
      <c r="AV22" s="243">
        <v>0.2</v>
      </c>
      <c r="AW22" s="119" t="s">
        <v>61</v>
      </c>
      <c r="AX22" s="142">
        <v>44</v>
      </c>
      <c r="AY22" s="278">
        <v>0</v>
      </c>
      <c r="AZ22" s="278">
        <v>0</v>
      </c>
      <c r="BA22" s="279">
        <v>20.5</v>
      </c>
      <c r="BB22" s="279">
        <v>20.5</v>
      </c>
      <c r="BC22" s="123" t="s">
        <v>53</v>
      </c>
      <c r="BD22" s="140"/>
      <c r="BE22" s="125" t="s">
        <v>53</v>
      </c>
      <c r="BF22" s="244"/>
      <c r="BG22" s="245" t="s">
        <v>53</v>
      </c>
      <c r="BH22" s="146" t="s">
        <v>62</v>
      </c>
      <c r="BI22" s="147">
        <v>2190.98</v>
      </c>
      <c r="BJ22" s="265">
        <v>0.25</v>
      </c>
      <c r="BK22" s="206" t="s">
        <v>60</v>
      </c>
      <c r="BL22" s="206"/>
      <c r="BM22" s="265">
        <v>0.2</v>
      </c>
      <c r="BN22" s="149" t="s">
        <v>61</v>
      </c>
      <c r="BO22" s="150">
        <v>40</v>
      </c>
      <c r="BP22" s="151">
        <v>0</v>
      </c>
      <c r="BQ22" s="151">
        <v>0</v>
      </c>
      <c r="BR22" s="266">
        <v>20.5</v>
      </c>
      <c r="BS22" s="266">
        <v>20.5</v>
      </c>
      <c r="BT22" s="152"/>
      <c r="BU22" s="266"/>
      <c r="BV22" s="153" t="s">
        <v>53</v>
      </c>
      <c r="BW22" s="248">
        <v>1</v>
      </c>
      <c r="BX22" s="249" t="s">
        <v>53</v>
      </c>
      <c r="BY22" s="140" t="s">
        <v>62</v>
      </c>
      <c r="BZ22" s="155">
        <v>5637.96</v>
      </c>
      <c r="CA22" s="267">
        <v>0.25</v>
      </c>
      <c r="CB22" s="211" t="s">
        <v>60</v>
      </c>
      <c r="CC22" s="211"/>
      <c r="CD22" s="267">
        <v>0.2</v>
      </c>
      <c r="CE22" s="119" t="s">
        <v>63</v>
      </c>
      <c r="CF22" s="156">
        <v>44</v>
      </c>
      <c r="CG22" s="157">
        <v>0</v>
      </c>
      <c r="CH22" s="157">
        <v>0</v>
      </c>
      <c r="CI22" s="268">
        <v>20.5</v>
      </c>
      <c r="CJ22" s="268">
        <v>20.5</v>
      </c>
      <c r="CK22" s="123" t="s">
        <v>53</v>
      </c>
      <c r="CL22" s="268"/>
      <c r="CM22" s="158" t="s">
        <v>53</v>
      </c>
      <c r="CN22" s="250"/>
      <c r="CO22" s="251" t="s">
        <v>53</v>
      </c>
      <c r="CP22" s="161" t="s">
        <v>62</v>
      </c>
      <c r="CQ22" s="162">
        <v>5637.96</v>
      </c>
      <c r="CR22" s="269">
        <v>0.25</v>
      </c>
      <c r="CS22" s="217" t="s">
        <v>60</v>
      </c>
      <c r="CT22" s="217"/>
      <c r="CU22" s="269">
        <v>0.2</v>
      </c>
      <c r="CV22" s="164" t="s">
        <v>63</v>
      </c>
      <c r="CW22" s="165">
        <v>44</v>
      </c>
      <c r="CX22" s="166">
        <v>0</v>
      </c>
      <c r="CY22" s="166">
        <v>0</v>
      </c>
      <c r="CZ22" s="270">
        <v>20.5</v>
      </c>
      <c r="DA22" s="270">
        <v>20.5</v>
      </c>
      <c r="DB22" s="167" t="s">
        <v>53</v>
      </c>
      <c r="DC22" s="270"/>
      <c r="DD22" s="168" t="s">
        <v>53</v>
      </c>
      <c r="DE22" s="248">
        <v>2</v>
      </c>
      <c r="DF22" s="249" t="s">
        <v>53</v>
      </c>
      <c r="DG22" s="169" t="s">
        <v>59</v>
      </c>
      <c r="DH22" s="155">
        <v>2161.0500000000002</v>
      </c>
      <c r="DI22" s="267">
        <v>0.25</v>
      </c>
      <c r="DJ22" s="1505" t="s">
        <v>60</v>
      </c>
      <c r="DK22" s="1457"/>
      <c r="DL22" s="267">
        <v>0.2</v>
      </c>
      <c r="DM22" s="119" t="s">
        <v>61</v>
      </c>
      <c r="DN22" s="170">
        <v>40</v>
      </c>
      <c r="DO22" s="157">
        <v>0</v>
      </c>
      <c r="DP22" s="157">
        <v>0</v>
      </c>
      <c r="DQ22" s="268">
        <v>20.5</v>
      </c>
      <c r="DR22" s="268">
        <v>20.5</v>
      </c>
      <c r="DS22" s="123" t="s">
        <v>53</v>
      </c>
      <c r="DT22" s="268"/>
      <c r="DU22" s="158" t="s">
        <v>53</v>
      </c>
      <c r="DV22" s="254">
        <v>0</v>
      </c>
      <c r="DW22" s="255" t="s">
        <v>53</v>
      </c>
      <c r="DX22" s="173" t="s">
        <v>64</v>
      </c>
      <c r="DY22" s="271">
        <v>1854.91</v>
      </c>
      <c r="DZ22" s="272">
        <v>0.25</v>
      </c>
      <c r="EA22" s="225" t="s">
        <v>60</v>
      </c>
      <c r="EB22" s="225"/>
      <c r="EC22" s="272">
        <v>0.2</v>
      </c>
      <c r="ED22" s="176" t="s">
        <v>63</v>
      </c>
      <c r="EE22" s="177">
        <v>20</v>
      </c>
      <c r="EF22" s="178">
        <v>0</v>
      </c>
      <c r="EG22" s="178">
        <v>0</v>
      </c>
      <c r="EH22" s="273"/>
      <c r="EI22" s="273"/>
      <c r="EJ22" s="179" t="s">
        <v>47</v>
      </c>
      <c r="EK22" s="273"/>
      <c r="EL22" s="273" t="s">
        <v>47</v>
      </c>
      <c r="EM22" s="254">
        <v>0</v>
      </c>
      <c r="EN22" s="255"/>
      <c r="EO22" s="173" t="s">
        <v>64</v>
      </c>
      <c r="EP22" s="271">
        <v>2925.11</v>
      </c>
      <c r="EQ22" s="272">
        <v>0.25</v>
      </c>
      <c r="ER22" s="225" t="s">
        <v>60</v>
      </c>
      <c r="ES22" s="225"/>
      <c r="ET22" s="272">
        <v>0.2</v>
      </c>
      <c r="EU22" s="176" t="s">
        <v>63</v>
      </c>
      <c r="EV22" s="177">
        <v>44</v>
      </c>
      <c r="EW22" s="178">
        <v>0</v>
      </c>
      <c r="EX22" s="178">
        <v>0</v>
      </c>
      <c r="EY22" s="273">
        <v>22</v>
      </c>
      <c r="EZ22" s="273">
        <v>22</v>
      </c>
      <c r="FA22" s="179" t="s">
        <v>47</v>
      </c>
      <c r="FB22" s="273"/>
      <c r="FC22" s="273" t="s">
        <v>47</v>
      </c>
      <c r="FD22" s="254">
        <v>0</v>
      </c>
      <c r="FE22" s="255"/>
      <c r="FF22" s="173" t="s">
        <v>64</v>
      </c>
      <c r="FG22" s="271"/>
      <c r="FH22" s="272"/>
      <c r="FI22" s="225"/>
      <c r="FJ22" s="225"/>
      <c r="FK22" s="272"/>
      <c r="FL22" s="176"/>
      <c r="FM22" s="177"/>
      <c r="FN22" s="178"/>
      <c r="FO22" s="178"/>
      <c r="FP22" s="273"/>
      <c r="FQ22" s="273"/>
      <c r="FR22" s="179"/>
      <c r="FS22" s="273"/>
      <c r="FT22" s="273"/>
      <c r="FU22" s="254">
        <v>0</v>
      </c>
      <c r="FV22" s="255"/>
      <c r="FW22" s="173"/>
      <c r="FX22" s="271"/>
      <c r="FY22" s="272"/>
      <c r="FZ22" s="225"/>
      <c r="GA22" s="225"/>
      <c r="GB22" s="272"/>
      <c r="GC22" s="176"/>
      <c r="GD22" s="177"/>
      <c r="GE22" s="178"/>
      <c r="GF22" s="178"/>
      <c r="GG22" s="273"/>
      <c r="GH22" s="273"/>
      <c r="GI22" s="179"/>
      <c r="GJ22" s="273"/>
      <c r="GK22" s="273"/>
      <c r="GL22" s="254">
        <v>0</v>
      </c>
      <c r="GM22" s="255"/>
      <c r="GN22" s="173"/>
      <c r="GO22" s="271"/>
      <c r="GP22" s="272"/>
      <c r="GQ22" s="225"/>
      <c r="GR22" s="225"/>
      <c r="GS22" s="272"/>
      <c r="GT22" s="176"/>
      <c r="GU22" s="177"/>
      <c r="GV22" s="178"/>
      <c r="GW22" s="178"/>
      <c r="GX22" s="273"/>
      <c r="GY22" s="273"/>
      <c r="GZ22" s="179"/>
      <c r="HA22" s="273"/>
      <c r="HB22" s="273"/>
      <c r="HC22" s="181">
        <f t="shared" si="3"/>
        <v>3</v>
      </c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3"/>
    </row>
    <row r="23" spans="1:222" ht="22.5" customHeight="1">
      <c r="A23" s="108"/>
      <c r="B23" s="229">
        <v>158268</v>
      </c>
      <c r="C23" s="229" t="s">
        <v>90</v>
      </c>
      <c r="D23" s="230" t="s">
        <v>91</v>
      </c>
      <c r="E23" s="276">
        <v>0</v>
      </c>
      <c r="F23" s="231">
        <v>5</v>
      </c>
      <c r="G23" s="232"/>
      <c r="H23" s="277" t="s">
        <v>53</v>
      </c>
      <c r="I23" s="115" t="s">
        <v>59</v>
      </c>
      <c r="J23" s="116">
        <v>2161.0500000000002</v>
      </c>
      <c r="K23" s="188">
        <v>0.2</v>
      </c>
      <c r="L23" s="1517" t="s">
        <v>60</v>
      </c>
      <c r="M23" s="1457"/>
      <c r="N23" s="118">
        <v>0.4</v>
      </c>
      <c r="O23" s="119" t="s">
        <v>61</v>
      </c>
      <c r="P23" s="120">
        <v>40</v>
      </c>
      <c r="Q23" s="278">
        <v>0</v>
      </c>
      <c r="R23" s="278">
        <v>0</v>
      </c>
      <c r="S23" s="279">
        <v>20.5</v>
      </c>
      <c r="T23" s="279">
        <v>20.5</v>
      </c>
      <c r="U23" s="123" t="s">
        <v>53</v>
      </c>
      <c r="V23" s="262">
        <v>0</v>
      </c>
      <c r="W23" s="125" t="s">
        <v>53</v>
      </c>
      <c r="X23" s="236"/>
      <c r="Y23" s="237" t="s">
        <v>53</v>
      </c>
      <c r="Z23" s="195" t="s">
        <v>59</v>
      </c>
      <c r="AA23" s="129">
        <v>2161.0500000000002</v>
      </c>
      <c r="AB23" s="238">
        <v>0.25</v>
      </c>
      <c r="AC23" s="1515" t="s">
        <v>60</v>
      </c>
      <c r="AD23" s="1457"/>
      <c r="AE23" s="130">
        <v>0.4</v>
      </c>
      <c r="AF23" s="131" t="s">
        <v>61</v>
      </c>
      <c r="AG23" s="132">
        <v>44</v>
      </c>
      <c r="AH23" s="280">
        <v>0</v>
      </c>
      <c r="AI23" s="280">
        <v>0</v>
      </c>
      <c r="AJ23" s="281">
        <v>20.5</v>
      </c>
      <c r="AK23" s="281">
        <v>20.5</v>
      </c>
      <c r="AL23" s="135" t="s">
        <v>53</v>
      </c>
      <c r="AM23" s="240">
        <v>0</v>
      </c>
      <c r="AN23" s="137" t="s">
        <v>53</v>
      </c>
      <c r="AO23" s="260">
        <v>4</v>
      </c>
      <c r="AP23" s="242" t="s">
        <v>53</v>
      </c>
      <c r="AQ23" s="140" t="s">
        <v>62</v>
      </c>
      <c r="AR23" s="141">
        <v>2190.98</v>
      </c>
      <c r="AS23" s="117">
        <v>0.25</v>
      </c>
      <c r="AT23" s="1507" t="s">
        <v>60</v>
      </c>
      <c r="AU23" s="1457"/>
      <c r="AV23" s="243">
        <v>0.2</v>
      </c>
      <c r="AW23" s="119" t="s">
        <v>61</v>
      </c>
      <c r="AX23" s="142">
        <v>44</v>
      </c>
      <c r="AY23" s="278">
        <v>0</v>
      </c>
      <c r="AZ23" s="278">
        <v>0</v>
      </c>
      <c r="BA23" s="279">
        <v>20.5</v>
      </c>
      <c r="BB23" s="279">
        <v>20.5</v>
      </c>
      <c r="BC23" s="123" t="s">
        <v>53</v>
      </c>
      <c r="BD23" s="140">
        <v>3</v>
      </c>
      <c r="BE23" s="125" t="s">
        <v>53</v>
      </c>
      <c r="BF23" s="244">
        <v>2</v>
      </c>
      <c r="BG23" s="245" t="s">
        <v>53</v>
      </c>
      <c r="BH23" s="146" t="s">
        <v>62</v>
      </c>
      <c r="BI23" s="147">
        <v>2190.98</v>
      </c>
      <c r="BJ23" s="265">
        <v>0.25</v>
      </c>
      <c r="BK23" s="1500" t="s">
        <v>60</v>
      </c>
      <c r="BL23" s="1457"/>
      <c r="BM23" s="265">
        <v>0.2</v>
      </c>
      <c r="BN23" s="149" t="s">
        <v>61</v>
      </c>
      <c r="BO23" s="150">
        <v>40</v>
      </c>
      <c r="BP23" s="151">
        <v>0</v>
      </c>
      <c r="BQ23" s="151">
        <v>0</v>
      </c>
      <c r="BR23" s="266">
        <v>20.5</v>
      </c>
      <c r="BS23" s="266">
        <v>20.5</v>
      </c>
      <c r="BT23" s="152" t="s">
        <v>53</v>
      </c>
      <c r="BU23" s="266"/>
      <c r="BV23" s="153" t="s">
        <v>53</v>
      </c>
      <c r="BW23" s="248">
        <v>2</v>
      </c>
      <c r="BX23" s="249" t="s">
        <v>53</v>
      </c>
      <c r="BY23" s="140" t="s">
        <v>62</v>
      </c>
      <c r="BZ23" s="155">
        <v>5637.96</v>
      </c>
      <c r="CA23" s="267">
        <v>0.25</v>
      </c>
      <c r="CB23" s="1499" t="s">
        <v>60</v>
      </c>
      <c r="CC23" s="1457"/>
      <c r="CD23" s="267">
        <v>0.2</v>
      </c>
      <c r="CE23" s="119" t="s">
        <v>63</v>
      </c>
      <c r="CF23" s="156">
        <v>44</v>
      </c>
      <c r="CG23" s="157">
        <v>0</v>
      </c>
      <c r="CH23" s="157">
        <v>0</v>
      </c>
      <c r="CI23" s="268">
        <v>20.5</v>
      </c>
      <c r="CJ23" s="268">
        <v>20.5</v>
      </c>
      <c r="CK23" s="123" t="s">
        <v>53</v>
      </c>
      <c r="CL23" s="268"/>
      <c r="CM23" s="158" t="s">
        <v>53</v>
      </c>
      <c r="CN23" s="250"/>
      <c r="CO23" s="251" t="s">
        <v>53</v>
      </c>
      <c r="CP23" s="161" t="s">
        <v>62</v>
      </c>
      <c r="CQ23" s="162">
        <v>5637.96</v>
      </c>
      <c r="CR23" s="269">
        <v>0.25</v>
      </c>
      <c r="CS23" s="1498" t="s">
        <v>60</v>
      </c>
      <c r="CT23" s="1457"/>
      <c r="CU23" s="269">
        <v>0.2</v>
      </c>
      <c r="CV23" s="164" t="s">
        <v>63</v>
      </c>
      <c r="CW23" s="165">
        <v>44</v>
      </c>
      <c r="CX23" s="166">
        <v>0</v>
      </c>
      <c r="CY23" s="166">
        <v>0</v>
      </c>
      <c r="CZ23" s="270">
        <v>20.5</v>
      </c>
      <c r="DA23" s="270">
        <v>20.5</v>
      </c>
      <c r="DB23" s="167" t="s">
        <v>53</v>
      </c>
      <c r="DC23" s="270"/>
      <c r="DD23" s="168" t="s">
        <v>53</v>
      </c>
      <c r="DE23" s="248"/>
      <c r="DF23" s="249" t="s">
        <v>53</v>
      </c>
      <c r="DG23" s="169" t="s">
        <v>59</v>
      </c>
      <c r="DH23" s="155">
        <v>2161.0500000000002</v>
      </c>
      <c r="DI23" s="267">
        <v>0.25</v>
      </c>
      <c r="DJ23" s="1505" t="s">
        <v>60</v>
      </c>
      <c r="DK23" s="1457"/>
      <c r="DL23" s="267">
        <v>0.2</v>
      </c>
      <c r="DM23" s="119" t="s">
        <v>61</v>
      </c>
      <c r="DN23" s="170">
        <v>40</v>
      </c>
      <c r="DO23" s="157">
        <v>0</v>
      </c>
      <c r="DP23" s="157">
        <v>0</v>
      </c>
      <c r="DQ23" s="268">
        <v>20.5</v>
      </c>
      <c r="DR23" s="268">
        <v>20.5</v>
      </c>
      <c r="DS23" s="123" t="s">
        <v>53</v>
      </c>
      <c r="DT23" s="268"/>
      <c r="DU23" s="158" t="s">
        <v>53</v>
      </c>
      <c r="DV23" s="254">
        <v>0</v>
      </c>
      <c r="DW23" s="255" t="s">
        <v>53</v>
      </c>
      <c r="DX23" s="173" t="s">
        <v>64</v>
      </c>
      <c r="DY23" s="271">
        <v>1854.91</v>
      </c>
      <c r="DZ23" s="272">
        <v>0.25</v>
      </c>
      <c r="EA23" s="1506" t="s">
        <v>60</v>
      </c>
      <c r="EB23" s="1457"/>
      <c r="EC23" s="272">
        <v>0.2</v>
      </c>
      <c r="ED23" s="176" t="s">
        <v>63</v>
      </c>
      <c r="EE23" s="177">
        <v>20</v>
      </c>
      <c r="EF23" s="178">
        <v>0</v>
      </c>
      <c r="EG23" s="178">
        <v>0</v>
      </c>
      <c r="EH23" s="273">
        <v>22</v>
      </c>
      <c r="EI23" s="273">
        <v>22</v>
      </c>
      <c r="EJ23" s="179" t="s">
        <v>47</v>
      </c>
      <c r="EK23" s="273"/>
      <c r="EL23" s="273" t="s">
        <v>47</v>
      </c>
      <c r="EM23" s="254">
        <v>0</v>
      </c>
      <c r="EN23" s="255" t="s">
        <v>53</v>
      </c>
      <c r="EO23" s="173" t="s">
        <v>64</v>
      </c>
      <c r="EP23" s="271">
        <v>3017.67</v>
      </c>
      <c r="EQ23" s="272">
        <v>0.25</v>
      </c>
      <c r="ER23" s="1506" t="s">
        <v>60</v>
      </c>
      <c r="ES23" s="1457"/>
      <c r="ET23" s="272">
        <v>0.2</v>
      </c>
      <c r="EU23" s="176" t="s">
        <v>63</v>
      </c>
      <c r="EV23" s="177">
        <v>44</v>
      </c>
      <c r="EW23" s="178">
        <v>0</v>
      </c>
      <c r="EX23" s="178">
        <v>0</v>
      </c>
      <c r="EY23" s="273">
        <v>22</v>
      </c>
      <c r="EZ23" s="273">
        <v>22</v>
      </c>
      <c r="FA23" s="179" t="s">
        <v>47</v>
      </c>
      <c r="FB23" s="273"/>
      <c r="FC23" s="273" t="s">
        <v>47</v>
      </c>
      <c r="FD23" s="254">
        <v>0</v>
      </c>
      <c r="FE23" s="255" t="s">
        <v>53</v>
      </c>
      <c r="FF23" s="173" t="s">
        <v>64</v>
      </c>
      <c r="FG23" s="271">
        <v>1741.45</v>
      </c>
      <c r="FH23" s="272">
        <v>0.25</v>
      </c>
      <c r="FI23" s="1506" t="s">
        <v>60</v>
      </c>
      <c r="FJ23" s="1457"/>
      <c r="FK23" s="272">
        <v>0.2</v>
      </c>
      <c r="FL23" s="176" t="s">
        <v>65</v>
      </c>
      <c r="FM23" s="177">
        <v>44</v>
      </c>
      <c r="FN23" s="178">
        <f t="shared" ref="FN23:FN24" si="21">IFERROR((52/(IF(FE23="S",FD23+(IF(Y23="S",X23,0))+(IF(AS23="S",AR23,0)),0)))/12,0)</f>
        <v>0</v>
      </c>
      <c r="FO23" s="178">
        <f t="shared" ref="FO23:FO24" si="22">IFERROR(((52+12)/(IF(FE23="S",FD23+(IF(Y23="S",X23,0))+(IF(AS23="S",AR23,0)),0)))/12,0)</f>
        <v>0</v>
      </c>
      <c r="FP23" s="273">
        <v>9</v>
      </c>
      <c r="FQ23" s="273"/>
      <c r="FR23" s="179" t="s">
        <v>47</v>
      </c>
      <c r="FS23" s="273"/>
      <c r="FT23" s="273"/>
      <c r="FU23" s="254">
        <v>0</v>
      </c>
      <c r="FV23" s="255" t="s">
        <v>53</v>
      </c>
      <c r="FW23" s="173" t="s">
        <v>66</v>
      </c>
      <c r="FX23" s="271">
        <v>0</v>
      </c>
      <c r="FY23" s="272">
        <v>0.25</v>
      </c>
      <c r="FZ23" s="1506" t="s">
        <v>60</v>
      </c>
      <c r="GA23" s="1457"/>
      <c r="GB23" s="272">
        <v>0.2</v>
      </c>
      <c r="GC23" s="176" t="s">
        <v>63</v>
      </c>
      <c r="GD23" s="177">
        <v>44</v>
      </c>
      <c r="GE23" s="178">
        <f t="shared" ref="GE23:GE24" si="23">IFERROR((52/(IF(FV23="S",FU23+(IF(Y23="S",X23,0))+(IF(AS23="S",AR23,0)),0)))/12,0)</f>
        <v>0</v>
      </c>
      <c r="GF23" s="178">
        <f t="shared" ref="GF23:GF24" si="24">IFERROR(((52+12)/(IF(FV23="S",FU23+(IF(Y23="S",X23,0))+(IF(AS23="S",AR23,0)),0)))/12,0)</f>
        <v>0</v>
      </c>
      <c r="GG23" s="273">
        <v>0</v>
      </c>
      <c r="GH23" s="273"/>
      <c r="GI23" s="179" t="s">
        <v>47</v>
      </c>
      <c r="GJ23" s="273"/>
      <c r="GK23" s="273"/>
      <c r="GL23" s="254">
        <v>0</v>
      </c>
      <c r="GM23" s="255" t="s">
        <v>53</v>
      </c>
      <c r="GN23" s="173" t="s">
        <v>66</v>
      </c>
      <c r="GO23" s="271">
        <v>0</v>
      </c>
      <c r="GP23" s="272">
        <v>0.25</v>
      </c>
      <c r="GQ23" s="1506" t="s">
        <v>60</v>
      </c>
      <c r="GR23" s="1457"/>
      <c r="GS23" s="272">
        <v>0.2</v>
      </c>
      <c r="GT23" s="176" t="s">
        <v>63</v>
      </c>
      <c r="GU23" s="177">
        <v>44</v>
      </c>
      <c r="GV23" s="178">
        <f t="shared" ref="GV23:GV24" si="25">IFERROR((52/(IF(GM23="S",GL23+(IF(Y23="S",X23,0))+(IF(AS23="S",AR23,0)),0)))/12,0)</f>
        <v>0</v>
      </c>
      <c r="GW23" s="178">
        <f t="shared" ref="GW23:GW24" si="26">IFERROR(((52+12)/(IF(GM23="S",GL23+(IF(Y23="S",X23,0))+(IF(AS23="S",AR23,0)),0)))/12,0)</f>
        <v>0</v>
      </c>
      <c r="GX23" s="273">
        <v>0</v>
      </c>
      <c r="GY23" s="273"/>
      <c r="GZ23" s="179" t="s">
        <v>47</v>
      </c>
      <c r="HA23" s="273"/>
      <c r="HB23" s="273"/>
      <c r="HC23" s="181">
        <f t="shared" si="3"/>
        <v>8</v>
      </c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3">
        <f t="shared" ref="HN23:HN25" si="27">G23+X23+AO23+BF23+BW23+CN23+DE23+DV23+EM23+FD23+FU23+GL23</f>
        <v>8</v>
      </c>
    </row>
    <row r="24" spans="1:222" ht="22.5" customHeight="1">
      <c r="A24" s="13"/>
      <c r="B24" s="282"/>
      <c r="C24" s="282"/>
      <c r="D24" s="230" t="s">
        <v>92</v>
      </c>
      <c r="E24" s="184">
        <v>5.3</v>
      </c>
      <c r="F24" s="231">
        <v>3</v>
      </c>
      <c r="G24" s="232">
        <v>1</v>
      </c>
      <c r="H24" s="233" t="s">
        <v>53</v>
      </c>
      <c r="I24" s="115" t="s">
        <v>59</v>
      </c>
      <c r="J24" s="116">
        <v>2161.0500000000002</v>
      </c>
      <c r="K24" s="188">
        <v>0.2</v>
      </c>
      <c r="L24" s="1516" t="s">
        <v>60</v>
      </c>
      <c r="M24" s="1457"/>
      <c r="N24" s="118">
        <v>0.4</v>
      </c>
      <c r="O24" s="119" t="s">
        <v>61</v>
      </c>
      <c r="P24" s="189">
        <v>40</v>
      </c>
      <c r="Q24" s="190">
        <v>0</v>
      </c>
      <c r="R24" s="190">
        <v>0</v>
      </c>
      <c r="S24" s="234">
        <v>20.5</v>
      </c>
      <c r="T24" s="234">
        <v>20.5</v>
      </c>
      <c r="U24" s="123" t="s">
        <v>53</v>
      </c>
      <c r="V24" s="235">
        <v>0</v>
      </c>
      <c r="W24" s="125" t="s">
        <v>53</v>
      </c>
      <c r="X24" s="236">
        <v>2</v>
      </c>
      <c r="Y24" s="263" t="s">
        <v>53</v>
      </c>
      <c r="Z24" s="195" t="s">
        <v>59</v>
      </c>
      <c r="AA24" s="129">
        <v>2161.0500000000002</v>
      </c>
      <c r="AB24" s="238">
        <v>0.25</v>
      </c>
      <c r="AC24" s="1515" t="s">
        <v>60</v>
      </c>
      <c r="AD24" s="1457"/>
      <c r="AE24" s="130">
        <v>0.4</v>
      </c>
      <c r="AF24" s="131" t="s">
        <v>61</v>
      </c>
      <c r="AG24" s="132">
        <v>44</v>
      </c>
      <c r="AH24" s="196">
        <v>0</v>
      </c>
      <c r="AI24" s="196">
        <v>0</v>
      </c>
      <c r="AJ24" s="239">
        <v>20.5</v>
      </c>
      <c r="AK24" s="239">
        <v>20.5</v>
      </c>
      <c r="AL24" s="135" t="s">
        <v>53</v>
      </c>
      <c r="AM24" s="240">
        <v>0</v>
      </c>
      <c r="AN24" s="137" t="s">
        <v>53</v>
      </c>
      <c r="AO24" s="260">
        <v>4</v>
      </c>
      <c r="AP24" s="242" t="s">
        <v>53</v>
      </c>
      <c r="AQ24" s="140" t="s">
        <v>62</v>
      </c>
      <c r="AR24" s="141">
        <v>2190.98</v>
      </c>
      <c r="AS24" s="117">
        <v>0.25</v>
      </c>
      <c r="AT24" s="1507" t="s">
        <v>60</v>
      </c>
      <c r="AU24" s="1457"/>
      <c r="AV24" s="243">
        <v>0.2</v>
      </c>
      <c r="AW24" s="119" t="s">
        <v>61</v>
      </c>
      <c r="AX24" s="142">
        <v>44</v>
      </c>
      <c r="AY24" s="190">
        <v>0</v>
      </c>
      <c r="AZ24" s="190">
        <v>0</v>
      </c>
      <c r="BA24" s="234">
        <v>20.5</v>
      </c>
      <c r="BB24" s="234">
        <v>20.5</v>
      </c>
      <c r="BC24" s="123" t="s">
        <v>53</v>
      </c>
      <c r="BD24" s="140">
        <v>1</v>
      </c>
      <c r="BE24" s="125" t="s">
        <v>53</v>
      </c>
      <c r="BF24" s="244">
        <v>2</v>
      </c>
      <c r="BG24" s="245" t="s">
        <v>53</v>
      </c>
      <c r="BH24" s="146" t="s">
        <v>62</v>
      </c>
      <c r="BI24" s="147">
        <v>2190.98</v>
      </c>
      <c r="BJ24" s="246">
        <v>0.25</v>
      </c>
      <c r="BK24" s="1500" t="s">
        <v>60</v>
      </c>
      <c r="BL24" s="1457"/>
      <c r="BM24" s="246">
        <v>0.2</v>
      </c>
      <c r="BN24" s="149" t="s">
        <v>61</v>
      </c>
      <c r="BO24" s="150">
        <v>40</v>
      </c>
      <c r="BP24" s="207">
        <v>0</v>
      </c>
      <c r="BQ24" s="207">
        <v>0</v>
      </c>
      <c r="BR24" s="247">
        <v>20.5</v>
      </c>
      <c r="BS24" s="247">
        <v>20.5</v>
      </c>
      <c r="BT24" s="146" t="s">
        <v>47</v>
      </c>
      <c r="BU24" s="247"/>
      <c r="BV24" s="153" t="s">
        <v>53</v>
      </c>
      <c r="BW24" s="248"/>
      <c r="BX24" s="249" t="s">
        <v>53</v>
      </c>
      <c r="BY24" s="140" t="s">
        <v>62</v>
      </c>
      <c r="BZ24" s="155">
        <v>5637.96</v>
      </c>
      <c r="CA24" s="243">
        <v>0.25</v>
      </c>
      <c r="CB24" s="1499" t="s">
        <v>60</v>
      </c>
      <c r="CC24" s="1457"/>
      <c r="CD24" s="243">
        <v>0.2</v>
      </c>
      <c r="CE24" s="212" t="s">
        <v>63</v>
      </c>
      <c r="CF24" s="156">
        <v>44</v>
      </c>
      <c r="CG24" s="213">
        <v>0</v>
      </c>
      <c r="CH24" s="213">
        <v>0</v>
      </c>
      <c r="CI24" s="143">
        <v>20.5</v>
      </c>
      <c r="CJ24" s="143">
        <v>20.5</v>
      </c>
      <c r="CK24" s="140" t="s">
        <v>53</v>
      </c>
      <c r="CL24" s="143"/>
      <c r="CM24" s="158" t="s">
        <v>53</v>
      </c>
      <c r="CN24" s="250">
        <v>1</v>
      </c>
      <c r="CO24" s="251" t="s">
        <v>53</v>
      </c>
      <c r="CP24" s="161" t="s">
        <v>62</v>
      </c>
      <c r="CQ24" s="162">
        <v>5637.96</v>
      </c>
      <c r="CR24" s="252">
        <v>0.25</v>
      </c>
      <c r="CS24" s="1498" t="s">
        <v>60</v>
      </c>
      <c r="CT24" s="1457"/>
      <c r="CU24" s="252">
        <v>0.2</v>
      </c>
      <c r="CV24" s="218" t="s">
        <v>63</v>
      </c>
      <c r="CW24" s="165">
        <v>44</v>
      </c>
      <c r="CX24" s="219">
        <v>0</v>
      </c>
      <c r="CY24" s="219">
        <v>0</v>
      </c>
      <c r="CZ24" s="253">
        <v>20.5</v>
      </c>
      <c r="DA24" s="253">
        <v>20.5</v>
      </c>
      <c r="DB24" s="167" t="s">
        <v>53</v>
      </c>
      <c r="DC24" s="253"/>
      <c r="DD24" s="168" t="s">
        <v>53</v>
      </c>
      <c r="DE24" s="248">
        <v>1</v>
      </c>
      <c r="DF24" s="249" t="s">
        <v>53</v>
      </c>
      <c r="DG24" s="169" t="s">
        <v>59</v>
      </c>
      <c r="DH24" s="155">
        <v>2161.0500000000002</v>
      </c>
      <c r="DI24" s="243">
        <v>0.25</v>
      </c>
      <c r="DJ24" s="1505" t="s">
        <v>60</v>
      </c>
      <c r="DK24" s="1457"/>
      <c r="DL24" s="243">
        <v>0.2</v>
      </c>
      <c r="DM24" s="119" t="s">
        <v>61</v>
      </c>
      <c r="DN24" s="170">
        <v>40</v>
      </c>
      <c r="DO24" s="213">
        <v>0</v>
      </c>
      <c r="DP24" s="213">
        <v>0</v>
      </c>
      <c r="DQ24" s="143">
        <v>20.5</v>
      </c>
      <c r="DR24" s="143">
        <v>20.5</v>
      </c>
      <c r="DS24" s="140" t="s">
        <v>53</v>
      </c>
      <c r="DT24" s="143"/>
      <c r="DU24" s="158" t="s">
        <v>53</v>
      </c>
      <c r="DV24" s="254">
        <v>0</v>
      </c>
      <c r="DW24" s="255" t="s">
        <v>53</v>
      </c>
      <c r="DX24" s="173" t="s">
        <v>64</v>
      </c>
      <c r="DY24" s="256">
        <v>1854.91</v>
      </c>
      <c r="DZ24" s="257">
        <v>0.25</v>
      </c>
      <c r="EA24" s="1506" t="s">
        <v>60</v>
      </c>
      <c r="EB24" s="1457"/>
      <c r="EC24" s="257">
        <v>0.2</v>
      </c>
      <c r="ED24" s="226" t="s">
        <v>63</v>
      </c>
      <c r="EE24" s="177">
        <v>20</v>
      </c>
      <c r="EF24" s="227">
        <v>0</v>
      </c>
      <c r="EG24" s="227">
        <v>0</v>
      </c>
      <c r="EH24" s="258">
        <v>22</v>
      </c>
      <c r="EI24" s="258">
        <v>22</v>
      </c>
      <c r="EJ24" s="173" t="s">
        <v>47</v>
      </c>
      <c r="EK24" s="258"/>
      <c r="EL24" s="258" t="s">
        <v>47</v>
      </c>
      <c r="EM24" s="254">
        <v>0</v>
      </c>
      <c r="EN24" s="255" t="s">
        <v>53</v>
      </c>
      <c r="EO24" s="173" t="s">
        <v>64</v>
      </c>
      <c r="EP24" s="256">
        <v>2925.11</v>
      </c>
      <c r="EQ24" s="257">
        <v>0.25</v>
      </c>
      <c r="ER24" s="1506" t="s">
        <v>60</v>
      </c>
      <c r="ES24" s="1457"/>
      <c r="ET24" s="257">
        <v>0.2</v>
      </c>
      <c r="EU24" s="226" t="s">
        <v>63</v>
      </c>
      <c r="EV24" s="177">
        <v>44</v>
      </c>
      <c r="EW24" s="227">
        <v>0</v>
      </c>
      <c r="EX24" s="227">
        <v>0</v>
      </c>
      <c r="EY24" s="258">
        <v>22</v>
      </c>
      <c r="EZ24" s="258">
        <v>22</v>
      </c>
      <c r="FA24" s="173" t="s">
        <v>47</v>
      </c>
      <c r="FB24" s="258"/>
      <c r="FC24" s="258" t="s">
        <v>47</v>
      </c>
      <c r="FD24" s="254">
        <v>0</v>
      </c>
      <c r="FE24" s="255" t="s">
        <v>53</v>
      </c>
      <c r="FF24" s="173" t="s">
        <v>64</v>
      </c>
      <c r="FG24" s="256">
        <v>1741.45</v>
      </c>
      <c r="FH24" s="257">
        <v>0.25</v>
      </c>
      <c r="FI24" s="1506" t="s">
        <v>60</v>
      </c>
      <c r="FJ24" s="1457"/>
      <c r="FK24" s="257">
        <v>0.2</v>
      </c>
      <c r="FL24" s="226" t="s">
        <v>65</v>
      </c>
      <c r="FM24" s="177">
        <v>44</v>
      </c>
      <c r="FN24" s="227">
        <f t="shared" si="21"/>
        <v>0</v>
      </c>
      <c r="FO24" s="227">
        <f t="shared" si="22"/>
        <v>0</v>
      </c>
      <c r="FP24" s="258">
        <v>9</v>
      </c>
      <c r="FQ24" s="258"/>
      <c r="FR24" s="173" t="s">
        <v>47</v>
      </c>
      <c r="FS24" s="258"/>
      <c r="FT24" s="258"/>
      <c r="FU24" s="254">
        <v>0</v>
      </c>
      <c r="FV24" s="255" t="s">
        <v>53</v>
      </c>
      <c r="FW24" s="173" t="s">
        <v>66</v>
      </c>
      <c r="FX24" s="256">
        <v>0</v>
      </c>
      <c r="FY24" s="257">
        <v>0.25</v>
      </c>
      <c r="FZ24" s="1506" t="s">
        <v>60</v>
      </c>
      <c r="GA24" s="1457"/>
      <c r="GB24" s="257">
        <v>0.2</v>
      </c>
      <c r="GC24" s="226" t="s">
        <v>63</v>
      </c>
      <c r="GD24" s="177">
        <v>44</v>
      </c>
      <c r="GE24" s="227">
        <f t="shared" si="23"/>
        <v>0</v>
      </c>
      <c r="GF24" s="227">
        <f t="shared" si="24"/>
        <v>0</v>
      </c>
      <c r="GG24" s="258">
        <v>0</v>
      </c>
      <c r="GH24" s="258"/>
      <c r="GI24" s="173" t="s">
        <v>47</v>
      </c>
      <c r="GJ24" s="258"/>
      <c r="GK24" s="258"/>
      <c r="GL24" s="254">
        <v>0</v>
      </c>
      <c r="GM24" s="255" t="s">
        <v>53</v>
      </c>
      <c r="GN24" s="173" t="s">
        <v>66</v>
      </c>
      <c r="GO24" s="256">
        <v>0</v>
      </c>
      <c r="GP24" s="257">
        <v>0.25</v>
      </c>
      <c r="GQ24" s="1506" t="s">
        <v>60</v>
      </c>
      <c r="GR24" s="1457"/>
      <c r="GS24" s="257">
        <v>0.2</v>
      </c>
      <c r="GT24" s="226" t="s">
        <v>63</v>
      </c>
      <c r="GU24" s="177">
        <v>44</v>
      </c>
      <c r="GV24" s="227">
        <f t="shared" si="25"/>
        <v>0</v>
      </c>
      <c r="GW24" s="227">
        <f t="shared" si="26"/>
        <v>0</v>
      </c>
      <c r="GX24" s="258">
        <v>0</v>
      </c>
      <c r="GY24" s="258"/>
      <c r="GZ24" s="173" t="s">
        <v>47</v>
      </c>
      <c r="HA24" s="258"/>
      <c r="HB24" s="258"/>
      <c r="HC24" s="181">
        <f t="shared" si="3"/>
        <v>11</v>
      </c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183">
        <f t="shared" si="27"/>
        <v>11</v>
      </c>
    </row>
    <row r="25" spans="1:222" ht="18.75" customHeight="1">
      <c r="A25" s="13"/>
      <c r="B25" s="13"/>
      <c r="C25" s="13"/>
      <c r="D25" s="13"/>
      <c r="E25" s="13"/>
      <c r="F25" s="283"/>
      <c r="G25" s="284">
        <f t="shared" ref="G25:GL25" si="28">SUM(G10:G24)</f>
        <v>9</v>
      </c>
      <c r="H25" s="284">
        <f t="shared" si="28"/>
        <v>0</v>
      </c>
      <c r="I25" s="284">
        <f t="shared" si="28"/>
        <v>0</v>
      </c>
      <c r="J25" s="285">
        <f t="shared" si="28"/>
        <v>32415.749999999993</v>
      </c>
      <c r="K25" s="286">
        <f t="shared" si="28"/>
        <v>3.0000000000000004</v>
      </c>
      <c r="L25" s="287">
        <f t="shared" si="28"/>
        <v>0</v>
      </c>
      <c r="M25" s="284">
        <f t="shared" si="28"/>
        <v>0</v>
      </c>
      <c r="N25" s="286">
        <f t="shared" si="28"/>
        <v>6.0000000000000009</v>
      </c>
      <c r="O25" s="287">
        <f t="shared" si="28"/>
        <v>0</v>
      </c>
      <c r="P25" s="288">
        <f t="shared" si="28"/>
        <v>600</v>
      </c>
      <c r="Q25" s="289">
        <f t="shared" si="28"/>
        <v>0</v>
      </c>
      <c r="R25" s="289">
        <f t="shared" si="28"/>
        <v>0</v>
      </c>
      <c r="S25" s="284">
        <f t="shared" si="28"/>
        <v>307.5</v>
      </c>
      <c r="T25" s="284">
        <f t="shared" si="28"/>
        <v>307.5</v>
      </c>
      <c r="U25" s="284">
        <f t="shared" si="28"/>
        <v>0</v>
      </c>
      <c r="V25" s="284">
        <f t="shared" si="28"/>
        <v>0</v>
      </c>
      <c r="W25" s="284">
        <f t="shared" si="28"/>
        <v>0</v>
      </c>
      <c r="X25" s="284">
        <f t="shared" si="28"/>
        <v>6</v>
      </c>
      <c r="Y25" s="284">
        <f t="shared" si="28"/>
        <v>0</v>
      </c>
      <c r="Z25" s="284">
        <f t="shared" si="28"/>
        <v>0</v>
      </c>
      <c r="AA25" s="285">
        <f t="shared" si="28"/>
        <v>32415.749999999993</v>
      </c>
      <c r="AB25" s="286">
        <f t="shared" si="28"/>
        <v>3.75</v>
      </c>
      <c r="AC25" s="287">
        <f t="shared" si="28"/>
        <v>0</v>
      </c>
      <c r="AD25" s="284">
        <f t="shared" si="28"/>
        <v>0</v>
      </c>
      <c r="AE25" s="286">
        <f t="shared" si="28"/>
        <v>6.0000000000000009</v>
      </c>
      <c r="AF25" s="287">
        <f t="shared" si="28"/>
        <v>0</v>
      </c>
      <c r="AG25" s="288">
        <f t="shared" si="28"/>
        <v>660</v>
      </c>
      <c r="AH25" s="289">
        <f t="shared" si="28"/>
        <v>0</v>
      </c>
      <c r="AI25" s="289">
        <f t="shared" si="28"/>
        <v>0</v>
      </c>
      <c r="AJ25" s="284">
        <f t="shared" si="28"/>
        <v>307.5</v>
      </c>
      <c r="AK25" s="284">
        <f t="shared" si="28"/>
        <v>307.5</v>
      </c>
      <c r="AL25" s="284">
        <f t="shared" si="28"/>
        <v>0</v>
      </c>
      <c r="AM25" s="284">
        <f t="shared" si="28"/>
        <v>0</v>
      </c>
      <c r="AN25" s="284">
        <f t="shared" si="28"/>
        <v>0</v>
      </c>
      <c r="AO25" s="284">
        <f t="shared" si="28"/>
        <v>40</v>
      </c>
      <c r="AP25" s="284">
        <f t="shared" si="28"/>
        <v>0</v>
      </c>
      <c r="AQ25" s="284">
        <f t="shared" si="28"/>
        <v>0</v>
      </c>
      <c r="AR25" s="285">
        <f t="shared" si="28"/>
        <v>32864.699999999997</v>
      </c>
      <c r="AS25" s="286">
        <f t="shared" si="28"/>
        <v>3.75</v>
      </c>
      <c r="AT25" s="287">
        <f t="shared" si="28"/>
        <v>0</v>
      </c>
      <c r="AU25" s="284">
        <f t="shared" si="28"/>
        <v>0</v>
      </c>
      <c r="AV25" s="286">
        <f t="shared" si="28"/>
        <v>3.0000000000000004</v>
      </c>
      <c r="AW25" s="287">
        <f t="shared" si="28"/>
        <v>0</v>
      </c>
      <c r="AX25" s="288">
        <f t="shared" si="28"/>
        <v>660</v>
      </c>
      <c r="AY25" s="289">
        <f t="shared" si="28"/>
        <v>0</v>
      </c>
      <c r="AZ25" s="289">
        <f t="shared" si="28"/>
        <v>0</v>
      </c>
      <c r="BA25" s="284">
        <f t="shared" si="28"/>
        <v>307.5</v>
      </c>
      <c r="BB25" s="284">
        <f t="shared" si="28"/>
        <v>307.5</v>
      </c>
      <c r="BC25" s="284">
        <f t="shared" si="28"/>
        <v>0</v>
      </c>
      <c r="BD25" s="284">
        <f t="shared" si="28"/>
        <v>16</v>
      </c>
      <c r="BE25" s="284">
        <f t="shared" si="28"/>
        <v>0</v>
      </c>
      <c r="BF25" s="284">
        <f t="shared" si="28"/>
        <v>13</v>
      </c>
      <c r="BG25" s="284">
        <f t="shared" si="28"/>
        <v>0</v>
      </c>
      <c r="BH25" s="284">
        <f t="shared" si="28"/>
        <v>0</v>
      </c>
      <c r="BI25" s="285">
        <f t="shared" si="28"/>
        <v>32864.699999999997</v>
      </c>
      <c r="BJ25" s="286">
        <f t="shared" si="28"/>
        <v>3.75</v>
      </c>
      <c r="BK25" s="287">
        <f t="shared" si="28"/>
        <v>0</v>
      </c>
      <c r="BL25" s="284">
        <f t="shared" si="28"/>
        <v>0</v>
      </c>
      <c r="BM25" s="286">
        <f t="shared" si="28"/>
        <v>3.0000000000000004</v>
      </c>
      <c r="BN25" s="287">
        <f t="shared" si="28"/>
        <v>0</v>
      </c>
      <c r="BO25" s="288">
        <f t="shared" si="28"/>
        <v>600</v>
      </c>
      <c r="BP25" s="289">
        <f t="shared" si="28"/>
        <v>0</v>
      </c>
      <c r="BQ25" s="289">
        <f t="shared" si="28"/>
        <v>0</v>
      </c>
      <c r="BR25" s="284">
        <f t="shared" si="28"/>
        <v>307.5</v>
      </c>
      <c r="BS25" s="284">
        <f t="shared" si="28"/>
        <v>307.5</v>
      </c>
      <c r="BT25" s="284">
        <f t="shared" si="28"/>
        <v>0</v>
      </c>
      <c r="BU25" s="284">
        <f t="shared" si="28"/>
        <v>0</v>
      </c>
      <c r="BV25" s="284">
        <f t="shared" si="28"/>
        <v>0</v>
      </c>
      <c r="BW25" s="284">
        <f t="shared" si="28"/>
        <v>11</v>
      </c>
      <c r="BX25" s="284">
        <f t="shared" si="28"/>
        <v>0</v>
      </c>
      <c r="BY25" s="284">
        <f t="shared" si="28"/>
        <v>0</v>
      </c>
      <c r="BZ25" s="285">
        <f t="shared" si="28"/>
        <v>84569.400000000023</v>
      </c>
      <c r="CA25" s="286">
        <f t="shared" si="28"/>
        <v>3.75</v>
      </c>
      <c r="CB25" s="287">
        <f t="shared" si="28"/>
        <v>0</v>
      </c>
      <c r="CC25" s="284">
        <f t="shared" si="28"/>
        <v>0</v>
      </c>
      <c r="CD25" s="286">
        <f t="shared" si="28"/>
        <v>3.0000000000000004</v>
      </c>
      <c r="CE25" s="287">
        <f t="shared" si="28"/>
        <v>0</v>
      </c>
      <c r="CF25" s="288">
        <f t="shared" si="28"/>
        <v>660</v>
      </c>
      <c r="CG25" s="289">
        <f t="shared" si="28"/>
        <v>0</v>
      </c>
      <c r="CH25" s="289">
        <f t="shared" si="28"/>
        <v>0</v>
      </c>
      <c r="CI25" s="284">
        <f t="shared" si="28"/>
        <v>307.5</v>
      </c>
      <c r="CJ25" s="284">
        <f t="shared" si="28"/>
        <v>307.5</v>
      </c>
      <c r="CK25" s="284">
        <f t="shared" si="28"/>
        <v>0</v>
      </c>
      <c r="CL25" s="284">
        <f t="shared" si="28"/>
        <v>0</v>
      </c>
      <c r="CM25" s="284">
        <f t="shared" si="28"/>
        <v>0</v>
      </c>
      <c r="CN25" s="284">
        <f t="shared" si="28"/>
        <v>5</v>
      </c>
      <c r="CO25" s="284">
        <f t="shared" si="28"/>
        <v>0</v>
      </c>
      <c r="CP25" s="284">
        <f t="shared" si="28"/>
        <v>0</v>
      </c>
      <c r="CQ25" s="285">
        <f t="shared" si="28"/>
        <v>84569.400000000023</v>
      </c>
      <c r="CR25" s="286">
        <f t="shared" si="28"/>
        <v>3.75</v>
      </c>
      <c r="CS25" s="287">
        <f t="shared" si="28"/>
        <v>0</v>
      </c>
      <c r="CT25" s="284">
        <f t="shared" si="28"/>
        <v>0</v>
      </c>
      <c r="CU25" s="286">
        <f t="shared" si="28"/>
        <v>3.0000000000000004</v>
      </c>
      <c r="CV25" s="287">
        <f t="shared" si="28"/>
        <v>0</v>
      </c>
      <c r="CW25" s="288">
        <f t="shared" si="28"/>
        <v>660</v>
      </c>
      <c r="CX25" s="289">
        <f t="shared" si="28"/>
        <v>0</v>
      </c>
      <c r="CY25" s="289">
        <f t="shared" si="28"/>
        <v>0</v>
      </c>
      <c r="CZ25" s="284">
        <f t="shared" si="28"/>
        <v>307.5</v>
      </c>
      <c r="DA25" s="284">
        <f t="shared" si="28"/>
        <v>307.5</v>
      </c>
      <c r="DB25" s="284">
        <f t="shared" si="28"/>
        <v>0</v>
      </c>
      <c r="DC25" s="284">
        <f t="shared" si="28"/>
        <v>0</v>
      </c>
      <c r="DD25" s="284">
        <f t="shared" si="28"/>
        <v>0</v>
      </c>
      <c r="DE25" s="284">
        <f t="shared" si="28"/>
        <v>13</v>
      </c>
      <c r="DF25" s="284">
        <f t="shared" si="28"/>
        <v>0</v>
      </c>
      <c r="DG25" s="284">
        <f t="shared" si="28"/>
        <v>0</v>
      </c>
      <c r="DH25" s="285">
        <f t="shared" si="28"/>
        <v>32415.749999999993</v>
      </c>
      <c r="DI25" s="286">
        <f t="shared" si="28"/>
        <v>3.75</v>
      </c>
      <c r="DJ25" s="287">
        <f t="shared" si="28"/>
        <v>0</v>
      </c>
      <c r="DK25" s="284">
        <f t="shared" si="28"/>
        <v>0</v>
      </c>
      <c r="DL25" s="286">
        <f t="shared" si="28"/>
        <v>3.0000000000000004</v>
      </c>
      <c r="DM25" s="287">
        <f t="shared" si="28"/>
        <v>0</v>
      </c>
      <c r="DN25" s="288">
        <f t="shared" si="28"/>
        <v>600</v>
      </c>
      <c r="DO25" s="289">
        <f t="shared" si="28"/>
        <v>0</v>
      </c>
      <c r="DP25" s="289">
        <f t="shared" si="28"/>
        <v>0</v>
      </c>
      <c r="DQ25" s="284">
        <f t="shared" si="28"/>
        <v>307.5</v>
      </c>
      <c r="DR25" s="284">
        <f t="shared" si="28"/>
        <v>307.5</v>
      </c>
      <c r="DS25" s="284">
        <f t="shared" si="28"/>
        <v>0</v>
      </c>
      <c r="DT25" s="284">
        <f t="shared" si="28"/>
        <v>0</v>
      </c>
      <c r="DU25" s="284">
        <f t="shared" si="28"/>
        <v>0</v>
      </c>
      <c r="DV25" s="284">
        <f t="shared" si="28"/>
        <v>0</v>
      </c>
      <c r="DW25" s="284">
        <f t="shared" si="28"/>
        <v>0</v>
      </c>
      <c r="DX25" s="284">
        <f t="shared" si="28"/>
        <v>0</v>
      </c>
      <c r="DY25" s="285">
        <f t="shared" si="28"/>
        <v>27823.65</v>
      </c>
      <c r="DZ25" s="286">
        <f t="shared" si="28"/>
        <v>3.75</v>
      </c>
      <c r="EA25" s="287">
        <f t="shared" si="28"/>
        <v>0</v>
      </c>
      <c r="EB25" s="284">
        <f t="shared" si="28"/>
        <v>0</v>
      </c>
      <c r="EC25" s="286">
        <f t="shared" si="28"/>
        <v>3.0000000000000004</v>
      </c>
      <c r="ED25" s="287">
        <f t="shared" si="28"/>
        <v>0</v>
      </c>
      <c r="EE25" s="288">
        <f t="shared" si="28"/>
        <v>300</v>
      </c>
      <c r="EF25" s="289">
        <f t="shared" si="28"/>
        <v>0</v>
      </c>
      <c r="EG25" s="289">
        <f t="shared" si="28"/>
        <v>0</v>
      </c>
      <c r="EH25" s="284">
        <f t="shared" si="28"/>
        <v>264</v>
      </c>
      <c r="EI25" s="284">
        <f t="shared" si="28"/>
        <v>264</v>
      </c>
      <c r="EJ25" s="284">
        <f t="shared" si="28"/>
        <v>0</v>
      </c>
      <c r="EK25" s="284">
        <f t="shared" si="28"/>
        <v>0</v>
      </c>
      <c r="EL25" s="284">
        <f t="shared" si="28"/>
        <v>0</v>
      </c>
      <c r="EM25" s="284">
        <f t="shared" si="28"/>
        <v>0</v>
      </c>
      <c r="EN25" s="284">
        <f t="shared" si="28"/>
        <v>0</v>
      </c>
      <c r="EO25" s="284">
        <f t="shared" si="28"/>
        <v>0</v>
      </c>
      <c r="EP25" s="285">
        <f t="shared" si="28"/>
        <v>44246.89</v>
      </c>
      <c r="EQ25" s="286">
        <f t="shared" si="28"/>
        <v>3.75</v>
      </c>
      <c r="ER25" s="287">
        <f t="shared" si="28"/>
        <v>0</v>
      </c>
      <c r="ES25" s="284">
        <f t="shared" si="28"/>
        <v>0</v>
      </c>
      <c r="ET25" s="286">
        <f t="shared" si="28"/>
        <v>3.0000000000000004</v>
      </c>
      <c r="EU25" s="287">
        <f t="shared" si="28"/>
        <v>0</v>
      </c>
      <c r="EV25" s="288">
        <f t="shared" si="28"/>
        <v>660</v>
      </c>
      <c r="EW25" s="289">
        <f t="shared" si="28"/>
        <v>0</v>
      </c>
      <c r="EX25" s="289">
        <f t="shared" si="28"/>
        <v>0</v>
      </c>
      <c r="EY25" s="284">
        <f t="shared" si="28"/>
        <v>330</v>
      </c>
      <c r="EZ25" s="284">
        <f t="shared" si="28"/>
        <v>330</v>
      </c>
      <c r="FA25" s="284">
        <f t="shared" si="28"/>
        <v>0</v>
      </c>
      <c r="FB25" s="284">
        <f t="shared" si="28"/>
        <v>0</v>
      </c>
      <c r="FC25" s="284">
        <f t="shared" si="28"/>
        <v>0</v>
      </c>
      <c r="FD25" s="284">
        <f t="shared" si="28"/>
        <v>0</v>
      </c>
      <c r="FE25" s="284">
        <f t="shared" si="28"/>
        <v>0</v>
      </c>
      <c r="FF25" s="284">
        <f t="shared" si="28"/>
        <v>0</v>
      </c>
      <c r="FG25" s="285">
        <f t="shared" si="28"/>
        <v>20897.400000000005</v>
      </c>
      <c r="FH25" s="286">
        <f t="shared" si="28"/>
        <v>3</v>
      </c>
      <c r="FI25" s="287">
        <f t="shared" si="28"/>
        <v>0</v>
      </c>
      <c r="FJ25" s="284">
        <f t="shared" si="28"/>
        <v>0</v>
      </c>
      <c r="FK25" s="286">
        <f t="shared" si="28"/>
        <v>2.4</v>
      </c>
      <c r="FL25" s="287">
        <f t="shared" si="28"/>
        <v>0</v>
      </c>
      <c r="FM25" s="288">
        <f t="shared" si="28"/>
        <v>528</v>
      </c>
      <c r="FN25" s="289">
        <f t="shared" si="28"/>
        <v>0</v>
      </c>
      <c r="FO25" s="289">
        <f t="shared" si="28"/>
        <v>0</v>
      </c>
      <c r="FP25" s="284">
        <f t="shared" si="28"/>
        <v>124</v>
      </c>
      <c r="FQ25" s="284">
        <f t="shared" si="28"/>
        <v>0</v>
      </c>
      <c r="FR25" s="284">
        <f t="shared" si="28"/>
        <v>0</v>
      </c>
      <c r="FS25" s="284">
        <f t="shared" si="28"/>
        <v>0</v>
      </c>
      <c r="FT25" s="284">
        <f t="shared" si="28"/>
        <v>0</v>
      </c>
      <c r="FU25" s="284">
        <f t="shared" si="28"/>
        <v>0</v>
      </c>
      <c r="FV25" s="284">
        <f t="shared" si="28"/>
        <v>0</v>
      </c>
      <c r="FW25" s="284">
        <f t="shared" si="28"/>
        <v>0</v>
      </c>
      <c r="FX25" s="285">
        <f t="shared" si="28"/>
        <v>0</v>
      </c>
      <c r="FY25" s="286">
        <f t="shared" si="28"/>
        <v>3</v>
      </c>
      <c r="FZ25" s="287">
        <f t="shared" si="28"/>
        <v>0</v>
      </c>
      <c r="GA25" s="284">
        <f t="shared" si="28"/>
        <v>0</v>
      </c>
      <c r="GB25" s="286">
        <f t="shared" si="28"/>
        <v>2.4</v>
      </c>
      <c r="GC25" s="287">
        <f t="shared" si="28"/>
        <v>0</v>
      </c>
      <c r="GD25" s="288">
        <f t="shared" si="28"/>
        <v>528</v>
      </c>
      <c r="GE25" s="289">
        <f t="shared" si="28"/>
        <v>0</v>
      </c>
      <c r="GF25" s="289">
        <f t="shared" si="28"/>
        <v>0</v>
      </c>
      <c r="GG25" s="284">
        <f t="shared" si="28"/>
        <v>0</v>
      </c>
      <c r="GH25" s="284">
        <f t="shared" si="28"/>
        <v>0</v>
      </c>
      <c r="GI25" s="284">
        <f t="shared" si="28"/>
        <v>0</v>
      </c>
      <c r="GJ25" s="284">
        <f t="shared" si="28"/>
        <v>0</v>
      </c>
      <c r="GK25" s="284">
        <f t="shared" si="28"/>
        <v>0</v>
      </c>
      <c r="GL25" s="284">
        <f t="shared" si="28"/>
        <v>0</v>
      </c>
      <c r="GM25" s="290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1">
        <f>SUM(HC10:HC24)</f>
        <v>97</v>
      </c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183">
        <f t="shared" si="27"/>
        <v>97</v>
      </c>
    </row>
    <row r="26" spans="1:222" ht="21.75" customHeight="1">
      <c r="A26" s="13"/>
      <c r="E26" s="13"/>
      <c r="F26" s="292"/>
      <c r="G26" s="293"/>
      <c r="H26" s="18"/>
      <c r="I26" s="18"/>
      <c r="J26" s="18"/>
      <c r="K26" s="13"/>
      <c r="L26" s="294" t="s">
        <v>93</v>
      </c>
      <c r="M26" s="295"/>
      <c r="N26" s="296"/>
      <c r="O26" s="297" t="s">
        <v>94</v>
      </c>
      <c r="P26" s="298">
        <v>44</v>
      </c>
      <c r="Q26" s="299" t="s">
        <v>95</v>
      </c>
      <c r="R26" s="299" t="s">
        <v>95</v>
      </c>
      <c r="S26" s="13"/>
      <c r="T26" s="13"/>
      <c r="U26" s="13"/>
      <c r="V26" s="13"/>
      <c r="W26" s="300" t="str">
        <f>G6</f>
        <v>5162_20_CUIDADOR-de-ALUNOS_40h</v>
      </c>
      <c r="X26" s="301" t="s">
        <v>96</v>
      </c>
      <c r="Y26" s="302"/>
      <c r="Z26" s="302"/>
      <c r="AA26" s="302"/>
      <c r="AB26" s="302"/>
      <c r="AC26" s="303"/>
      <c r="AD26" s="303"/>
      <c r="AE26" s="303"/>
      <c r="AF26" s="303"/>
      <c r="AG26" s="303"/>
      <c r="AH26" s="304" t="s">
        <v>95</v>
      </c>
      <c r="AI26" s="304" t="s">
        <v>95</v>
      </c>
      <c r="AJ26" s="303"/>
      <c r="AK26" s="303"/>
      <c r="AL26" s="303"/>
      <c r="AM26" s="303"/>
      <c r="AN26" s="300" t="str">
        <f>X6</f>
        <v>5162_20_CUIDADOR-de-ALUNOS_20h</v>
      </c>
      <c r="AO26" s="300"/>
      <c r="AP26" s="300"/>
      <c r="AQ26" s="300"/>
      <c r="AR26" s="300"/>
      <c r="AS26" s="300"/>
      <c r="AT26" s="300"/>
      <c r="AU26" s="300"/>
      <c r="AV26" s="300"/>
      <c r="AW26" s="300"/>
      <c r="AX26" s="300"/>
      <c r="AY26" s="300" t="s">
        <v>95</v>
      </c>
      <c r="AZ26" s="300" t="s">
        <v>95</v>
      </c>
      <c r="BA26" s="300"/>
      <c r="BB26" s="300"/>
      <c r="BC26" s="300"/>
      <c r="BD26" s="300"/>
      <c r="BE26" s="300" t="str">
        <f>AO6</f>
        <v>3341-05_INSTRUTOR-de-ALUNOS_40hs</v>
      </c>
      <c r="BF26" s="300"/>
      <c r="BG26" s="300"/>
      <c r="BH26" s="300"/>
      <c r="BI26" s="300"/>
      <c r="BJ26" s="300"/>
      <c r="BK26" s="300"/>
      <c r="BL26" s="300"/>
      <c r="BM26" s="300"/>
      <c r="BN26" s="300"/>
      <c r="BO26" s="300"/>
      <c r="BP26" s="300"/>
      <c r="BQ26" s="300"/>
      <c r="BR26" s="300"/>
      <c r="BS26" s="300"/>
      <c r="BT26" s="300"/>
      <c r="BU26" s="300"/>
      <c r="BV26" s="300" t="str">
        <f>BF6</f>
        <v>3341-05_INSTRUTOR-de-ALUNOS_20hs</v>
      </c>
      <c r="BW26" s="300"/>
      <c r="BX26" s="300"/>
      <c r="BY26" s="300"/>
      <c r="BZ26" s="300"/>
      <c r="CA26" s="300"/>
      <c r="CB26" s="300"/>
      <c r="CC26" s="300"/>
      <c r="CD26" s="300"/>
      <c r="CE26" s="300"/>
      <c r="CF26" s="300"/>
      <c r="CG26" s="300"/>
      <c r="CH26" s="300"/>
      <c r="CI26" s="300"/>
      <c r="CJ26" s="300"/>
      <c r="CK26" s="300"/>
      <c r="CL26" s="300"/>
      <c r="CM26" s="300" t="str">
        <f>BW6</f>
        <v>2394-25_PSICOPEGAGOGO_40h</v>
      </c>
      <c r="CN26" s="300"/>
      <c r="CO26" s="300"/>
      <c r="CP26" s="300"/>
      <c r="CQ26" s="300"/>
      <c r="CR26" s="300"/>
      <c r="CS26" s="300"/>
      <c r="CT26" s="300"/>
      <c r="CU26" s="300"/>
      <c r="CV26" s="300"/>
      <c r="CW26" s="300"/>
      <c r="CX26" s="300"/>
      <c r="CY26" s="300"/>
      <c r="CZ26" s="300"/>
      <c r="DA26" s="300"/>
      <c r="DB26" s="300"/>
      <c r="DC26" s="300"/>
      <c r="DD26" s="300" t="str">
        <f>CN6</f>
        <v>2394-25_PSICOPEGAGOGO_20h</v>
      </c>
      <c r="DE26" s="300"/>
      <c r="DF26" s="300"/>
      <c r="DG26" s="300"/>
      <c r="DH26" s="300"/>
      <c r="DI26" s="300"/>
      <c r="DJ26" s="300"/>
      <c r="DK26" s="300"/>
      <c r="DL26" s="300"/>
      <c r="DM26" s="300"/>
      <c r="DN26" s="300"/>
      <c r="DO26" s="300"/>
      <c r="DP26" s="300"/>
      <c r="DQ26" s="300"/>
      <c r="DR26" s="300"/>
      <c r="DS26" s="300"/>
      <c r="DT26" s="300"/>
      <c r="DU26" s="300" t="str">
        <f>DE6</f>
        <v>3341-10_MONITOR-de-ALUNOS_40h</v>
      </c>
      <c r="DV26" s="300"/>
      <c r="DW26" s="300"/>
      <c r="DX26" s="300"/>
      <c r="DY26" s="300"/>
      <c r="DZ26" s="300"/>
      <c r="EA26" s="300"/>
      <c r="EB26" s="300"/>
      <c r="EC26" s="300"/>
      <c r="ED26" s="300"/>
      <c r="EE26" s="300"/>
      <c r="EF26" s="300"/>
      <c r="EG26" s="300"/>
      <c r="EH26" s="300"/>
      <c r="EI26" s="300"/>
      <c r="EJ26" s="300"/>
      <c r="EK26" s="300"/>
      <c r="EL26" s="300" t="str">
        <f>DV6</f>
        <v>NAO TEM MAIS POSTO 55</v>
      </c>
      <c r="EM26" s="300"/>
      <c r="EN26" s="300"/>
      <c r="EO26" s="300"/>
      <c r="EP26" s="300"/>
      <c r="EQ26" s="300"/>
      <c r="ER26" s="300"/>
      <c r="ES26" s="300"/>
      <c r="ET26" s="300"/>
      <c r="EU26" s="300"/>
      <c r="EV26" s="300"/>
      <c r="EW26" s="300"/>
      <c r="EX26" s="300"/>
      <c r="EY26" s="300"/>
      <c r="EZ26" s="300"/>
      <c r="FA26" s="300"/>
      <c r="FB26" s="300"/>
      <c r="FC26" s="300" t="str">
        <f>EM6</f>
        <v>NAO TEM MAIS POSTO 66</v>
      </c>
      <c r="FD26" s="290"/>
      <c r="FE26" s="290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0"/>
      <c r="FV26" s="290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0"/>
      <c r="GM26" s="290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305"/>
    </row>
    <row r="27" spans="1:222" ht="18" customHeight="1">
      <c r="A27" s="13"/>
      <c r="B27" s="306" t="s">
        <v>97</v>
      </c>
      <c r="C27" s="307" t="s">
        <v>98</v>
      </c>
      <c r="D27" s="308" t="s">
        <v>99</v>
      </c>
      <c r="E27" s="13"/>
      <c r="F27" s="292"/>
      <c r="G27" s="293"/>
      <c r="H27" s="18"/>
      <c r="I27" s="18"/>
      <c r="J27" s="18"/>
      <c r="K27" s="13"/>
      <c r="L27" s="294" t="s">
        <v>100</v>
      </c>
      <c r="M27" s="309"/>
      <c r="N27" s="13"/>
      <c r="O27" s="310" t="s">
        <v>61</v>
      </c>
      <c r="P27" s="298">
        <v>40</v>
      </c>
      <c r="Q27" s="311" t="s">
        <v>101</v>
      </c>
      <c r="R27" s="311" t="s">
        <v>101</v>
      </c>
      <c r="S27" s="13"/>
      <c r="T27" s="13"/>
      <c r="U27" s="13"/>
      <c r="V27" s="13"/>
      <c r="W27" s="13"/>
      <c r="X27" s="18"/>
      <c r="Y27" s="18"/>
      <c r="Z27" s="18"/>
      <c r="AA27" s="18"/>
      <c r="AB27" s="18"/>
      <c r="AC27" s="13"/>
      <c r="AD27" s="13"/>
      <c r="AE27" s="13"/>
      <c r="AF27" s="13"/>
      <c r="AG27" s="13"/>
      <c r="AH27" s="312" t="s">
        <v>101</v>
      </c>
      <c r="AI27" s="312" t="s">
        <v>101</v>
      </c>
      <c r="AJ27" s="13"/>
      <c r="AK27" s="13"/>
      <c r="AL27" s="13"/>
      <c r="AM27" s="13"/>
      <c r="AN27" s="13"/>
      <c r="AO27" s="18"/>
      <c r="AP27" s="18"/>
      <c r="AQ27" s="13"/>
      <c r="AR27" s="13"/>
      <c r="AS27" s="13"/>
      <c r="AT27" s="13"/>
      <c r="AU27" s="13"/>
      <c r="AV27" s="13"/>
      <c r="AW27" s="13"/>
      <c r="AX27" s="13"/>
      <c r="AY27" s="313" t="s">
        <v>101</v>
      </c>
      <c r="AZ27" s="313" t="s">
        <v>101</v>
      </c>
      <c r="BA27" s="13"/>
      <c r="BB27" s="13"/>
      <c r="BC27" s="13"/>
      <c r="BD27" s="13"/>
      <c r="BE27" s="13"/>
      <c r="BF27" s="284"/>
      <c r="BG27" s="284"/>
      <c r="BH27" s="314"/>
      <c r="BI27" s="314"/>
      <c r="BJ27" s="314"/>
      <c r="BK27" s="314"/>
      <c r="BL27" s="314"/>
      <c r="BM27" s="314"/>
      <c r="BN27" s="314"/>
      <c r="BO27" s="314"/>
      <c r="BP27" s="314"/>
      <c r="BQ27" s="314"/>
      <c r="BR27" s="314"/>
      <c r="BS27" s="314"/>
      <c r="BT27" s="314"/>
      <c r="BU27" s="314"/>
      <c r="BV27" s="314"/>
      <c r="BW27" s="284"/>
      <c r="BX27" s="284"/>
      <c r="BY27" s="314"/>
      <c r="BZ27" s="314"/>
      <c r="CA27" s="314"/>
      <c r="CB27" s="314"/>
      <c r="CC27" s="314"/>
      <c r="CD27" s="314"/>
      <c r="CE27" s="314"/>
      <c r="CF27" s="314"/>
      <c r="CG27" s="314"/>
      <c r="CH27" s="314"/>
      <c r="CI27" s="314"/>
      <c r="CJ27" s="314"/>
      <c r="CK27" s="314"/>
      <c r="CL27" s="314"/>
      <c r="CM27" s="314"/>
      <c r="CN27" s="284"/>
      <c r="CO27" s="284"/>
      <c r="CP27" s="314"/>
      <c r="CQ27" s="314"/>
      <c r="CR27" s="314"/>
      <c r="CS27" s="314"/>
      <c r="CT27" s="314"/>
      <c r="CU27" s="314"/>
      <c r="CV27" s="314"/>
      <c r="CW27" s="314"/>
      <c r="CX27" s="314"/>
      <c r="CY27" s="314"/>
      <c r="CZ27" s="314"/>
      <c r="DA27" s="314"/>
      <c r="DB27" s="314"/>
      <c r="DC27" s="314"/>
      <c r="DD27" s="314"/>
      <c r="DE27" s="284"/>
      <c r="DF27" s="284"/>
      <c r="DG27" s="314"/>
      <c r="DH27" s="314"/>
      <c r="DI27" s="314"/>
      <c r="DJ27" s="314"/>
      <c r="DK27" s="314"/>
      <c r="DL27" s="314"/>
      <c r="DM27" s="314"/>
      <c r="DN27" s="314"/>
      <c r="DO27" s="314"/>
      <c r="DP27" s="314"/>
      <c r="DQ27" s="314"/>
      <c r="DR27" s="314"/>
      <c r="DS27" s="314"/>
      <c r="DT27" s="314"/>
      <c r="DU27" s="314"/>
      <c r="DV27" s="284"/>
      <c r="DW27" s="284"/>
      <c r="DX27" s="314"/>
      <c r="DY27" s="314"/>
      <c r="DZ27" s="314"/>
      <c r="EA27" s="314"/>
      <c r="EB27" s="314"/>
      <c r="EC27" s="314"/>
      <c r="ED27" s="314"/>
      <c r="EE27" s="314"/>
      <c r="EF27" s="314"/>
      <c r="EG27" s="314"/>
      <c r="EH27" s="314"/>
      <c r="EI27" s="314"/>
      <c r="EJ27" s="314"/>
      <c r="EK27" s="314"/>
      <c r="EL27" s="314"/>
      <c r="EM27" s="284"/>
      <c r="EN27" s="284"/>
      <c r="EO27" s="314"/>
      <c r="EP27" s="314"/>
      <c r="EQ27" s="314"/>
      <c r="ER27" s="314"/>
      <c r="ES27" s="314"/>
      <c r="ET27" s="314"/>
      <c r="EU27" s="314"/>
      <c r="EV27" s="314"/>
      <c r="EW27" s="314"/>
      <c r="EX27" s="314"/>
      <c r="EY27" s="314"/>
      <c r="EZ27" s="314"/>
      <c r="FA27" s="314"/>
      <c r="FB27" s="314"/>
      <c r="FC27" s="314"/>
      <c r="FD27" s="284"/>
      <c r="FE27" s="284"/>
      <c r="FF27" s="314"/>
      <c r="FG27" s="314"/>
      <c r="FH27" s="314"/>
      <c r="FI27" s="314"/>
      <c r="FJ27" s="314"/>
      <c r="FK27" s="314"/>
      <c r="FL27" s="314"/>
      <c r="FM27" s="314"/>
      <c r="FN27" s="314"/>
      <c r="FO27" s="314"/>
      <c r="FP27" s="314"/>
      <c r="FQ27" s="314"/>
      <c r="FR27" s="314"/>
      <c r="FS27" s="314"/>
      <c r="FT27" s="314"/>
      <c r="FU27" s="284"/>
      <c r="FV27" s="284"/>
      <c r="FW27" s="314"/>
      <c r="FX27" s="314"/>
      <c r="FY27" s="314"/>
      <c r="FZ27" s="314"/>
      <c r="GA27" s="314"/>
      <c r="GB27" s="314"/>
      <c r="GC27" s="314"/>
      <c r="GD27" s="314"/>
      <c r="GE27" s="314"/>
      <c r="GF27" s="314"/>
      <c r="GG27" s="314"/>
      <c r="GH27" s="314"/>
      <c r="GI27" s="314"/>
      <c r="GJ27" s="314"/>
      <c r="GK27" s="314"/>
      <c r="GL27" s="284"/>
      <c r="GM27" s="284"/>
      <c r="GN27" s="314"/>
      <c r="GO27" s="314"/>
      <c r="GP27" s="314"/>
      <c r="GQ27" s="314"/>
      <c r="GR27" s="314"/>
      <c r="GS27" s="314"/>
      <c r="GT27" s="314"/>
      <c r="GU27" s="314"/>
      <c r="GV27" s="314"/>
      <c r="GW27" s="314"/>
      <c r="GX27" s="314"/>
      <c r="GY27" s="314"/>
      <c r="GZ27" s="314"/>
      <c r="HA27" s="314"/>
      <c r="HB27" s="314"/>
      <c r="HC27" s="314"/>
      <c r="HD27" s="314"/>
      <c r="HE27" s="314"/>
      <c r="HF27" s="314"/>
      <c r="HG27" s="314"/>
      <c r="HH27" s="314"/>
      <c r="HI27" s="314"/>
      <c r="HJ27" s="314"/>
      <c r="HK27" s="314"/>
      <c r="HL27" s="314"/>
      <c r="HM27" s="13"/>
      <c r="HN27" s="13"/>
    </row>
    <row r="28" spans="1:222" ht="18" customHeight="1">
      <c r="A28" s="315"/>
      <c r="B28" s="13"/>
      <c r="C28" s="316">
        <v>1</v>
      </c>
      <c r="D28" s="317" t="s">
        <v>13</v>
      </c>
      <c r="E28" s="315"/>
      <c r="F28" s="315"/>
      <c r="G28" s="318"/>
      <c r="H28" s="318"/>
      <c r="I28" s="318"/>
      <c r="J28" s="318"/>
      <c r="K28" s="318"/>
      <c r="L28" s="319" t="s">
        <v>60</v>
      </c>
      <c r="M28" s="320"/>
      <c r="N28" s="315"/>
      <c r="O28" s="297" t="s">
        <v>102</v>
      </c>
      <c r="P28" s="298">
        <v>30</v>
      </c>
      <c r="Q28" s="321" t="s">
        <v>103</v>
      </c>
      <c r="R28" s="321" t="s">
        <v>103</v>
      </c>
      <c r="S28" s="318"/>
      <c r="T28" s="318"/>
      <c r="U28" s="318"/>
      <c r="V28" s="318"/>
      <c r="W28" s="13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22" t="s">
        <v>103</v>
      </c>
      <c r="AI28" s="322" t="s">
        <v>103</v>
      </c>
      <c r="AJ28" s="318"/>
      <c r="AK28" s="318"/>
      <c r="AL28" s="318"/>
      <c r="AM28" s="318"/>
      <c r="AN28" s="318"/>
      <c r="AO28" s="318"/>
      <c r="AP28" s="318"/>
      <c r="AQ28" s="318"/>
      <c r="AR28" s="318"/>
      <c r="AS28" s="318"/>
      <c r="AT28" s="318"/>
      <c r="AU28" s="318"/>
      <c r="AV28" s="318"/>
      <c r="AW28" s="318"/>
      <c r="AX28" s="318"/>
      <c r="AY28" s="323" t="s">
        <v>103</v>
      </c>
      <c r="AZ28" s="323" t="s">
        <v>103</v>
      </c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18"/>
      <c r="BQ28" s="318"/>
      <c r="BR28" s="318"/>
      <c r="BS28" s="318"/>
      <c r="BT28" s="318"/>
      <c r="BU28" s="318"/>
      <c r="BV28" s="318"/>
      <c r="BW28" s="318"/>
      <c r="BX28" s="318"/>
      <c r="BY28" s="318"/>
      <c r="BZ28" s="318"/>
      <c r="CA28" s="318"/>
      <c r="CB28" s="318"/>
      <c r="CC28" s="318"/>
      <c r="CD28" s="318"/>
      <c r="CE28" s="318"/>
      <c r="CF28" s="318"/>
      <c r="CG28" s="318"/>
      <c r="CH28" s="318"/>
      <c r="CI28" s="318"/>
      <c r="CJ28" s="318"/>
      <c r="CK28" s="318"/>
      <c r="CL28" s="318"/>
      <c r="CM28" s="318"/>
      <c r="CN28" s="318"/>
      <c r="CO28" s="318"/>
      <c r="CP28" s="318"/>
      <c r="CQ28" s="318"/>
      <c r="CR28" s="318"/>
      <c r="CS28" s="318"/>
      <c r="CT28" s="318"/>
      <c r="CU28" s="318"/>
      <c r="CV28" s="318"/>
      <c r="CW28" s="318"/>
      <c r="CX28" s="318"/>
      <c r="CY28" s="318"/>
      <c r="CZ28" s="318"/>
      <c r="DA28" s="318"/>
      <c r="DB28" s="318"/>
      <c r="DC28" s="318"/>
      <c r="DD28" s="318"/>
      <c r="DE28" s="318"/>
      <c r="DF28" s="318"/>
      <c r="DG28" s="318"/>
      <c r="DH28" s="318"/>
      <c r="DI28" s="318"/>
      <c r="DJ28" s="318"/>
      <c r="DK28" s="318"/>
      <c r="DL28" s="318"/>
      <c r="DM28" s="318"/>
      <c r="DN28" s="318"/>
      <c r="DO28" s="318"/>
      <c r="DP28" s="318"/>
      <c r="DQ28" s="318"/>
      <c r="DR28" s="318"/>
      <c r="DS28" s="318"/>
      <c r="DT28" s="318"/>
      <c r="DU28" s="318"/>
      <c r="DV28" s="318"/>
      <c r="DW28" s="318"/>
      <c r="DX28" s="318"/>
      <c r="DY28" s="318"/>
      <c r="DZ28" s="318"/>
      <c r="EA28" s="318"/>
      <c r="EB28" s="318"/>
      <c r="EC28" s="318"/>
      <c r="ED28" s="318"/>
      <c r="EE28" s="318"/>
      <c r="EF28" s="318"/>
      <c r="EG28" s="318"/>
      <c r="EH28" s="318"/>
      <c r="EI28" s="318"/>
      <c r="EJ28" s="318"/>
      <c r="EK28" s="318"/>
      <c r="EL28" s="318"/>
      <c r="EM28" s="318"/>
      <c r="EN28" s="318"/>
      <c r="EO28" s="318"/>
      <c r="EP28" s="318"/>
      <c r="EQ28" s="318"/>
      <c r="ER28" s="318"/>
      <c r="ES28" s="318"/>
      <c r="ET28" s="318"/>
      <c r="EU28" s="318"/>
      <c r="EV28" s="318"/>
      <c r="EW28" s="318"/>
      <c r="EX28" s="318"/>
      <c r="EY28" s="318"/>
      <c r="EZ28" s="318"/>
      <c r="FA28" s="318"/>
      <c r="FB28" s="318"/>
      <c r="FC28" s="318"/>
      <c r="FD28" s="318"/>
      <c r="FE28" s="318"/>
      <c r="FF28" s="318"/>
      <c r="FG28" s="318"/>
      <c r="FH28" s="318"/>
      <c r="FI28" s="318"/>
      <c r="FJ28" s="318"/>
      <c r="FK28" s="318"/>
      <c r="FL28" s="318"/>
      <c r="FM28" s="318"/>
      <c r="FN28" s="318"/>
      <c r="FO28" s="318"/>
      <c r="FP28" s="318"/>
      <c r="FQ28" s="318"/>
      <c r="FR28" s="318"/>
      <c r="FS28" s="318"/>
      <c r="FT28" s="318"/>
      <c r="FU28" s="318"/>
      <c r="FV28" s="318"/>
      <c r="FW28" s="318"/>
      <c r="FX28" s="318"/>
      <c r="FY28" s="318"/>
      <c r="FZ28" s="318"/>
      <c r="GA28" s="318"/>
      <c r="GB28" s="318"/>
      <c r="GC28" s="318"/>
      <c r="GD28" s="318"/>
      <c r="GE28" s="318"/>
      <c r="GF28" s="318"/>
      <c r="GG28" s="318"/>
      <c r="GH28" s="318"/>
      <c r="GI28" s="318"/>
      <c r="GJ28" s="318"/>
      <c r="GK28" s="318"/>
      <c r="GL28" s="318"/>
      <c r="GM28" s="318">
        <f t="shared" ref="GM28:HB28" si="29">GM6</f>
        <v>0</v>
      </c>
      <c r="GN28" s="318">
        <f t="shared" si="29"/>
        <v>0</v>
      </c>
      <c r="GO28" s="318">
        <f t="shared" si="29"/>
        <v>0</v>
      </c>
      <c r="GP28" s="318">
        <f t="shared" si="29"/>
        <v>0</v>
      </c>
      <c r="GQ28" s="318">
        <f t="shared" si="29"/>
        <v>0</v>
      </c>
      <c r="GR28" s="318">
        <f t="shared" si="29"/>
        <v>0</v>
      </c>
      <c r="GS28" s="318">
        <f t="shared" si="29"/>
        <v>0</v>
      </c>
      <c r="GT28" s="318">
        <f t="shared" si="29"/>
        <v>0</v>
      </c>
      <c r="GU28" s="318">
        <f t="shared" si="29"/>
        <v>0</v>
      </c>
      <c r="GV28" s="318">
        <f t="shared" si="29"/>
        <v>0</v>
      </c>
      <c r="GW28" s="318">
        <f t="shared" si="29"/>
        <v>0</v>
      </c>
      <c r="GX28" s="318">
        <f t="shared" si="29"/>
        <v>0</v>
      </c>
      <c r="GY28" s="318">
        <f t="shared" si="29"/>
        <v>0</v>
      </c>
      <c r="GZ28" s="318">
        <f t="shared" si="29"/>
        <v>0</v>
      </c>
      <c r="HA28" s="318">
        <f t="shared" si="29"/>
        <v>0</v>
      </c>
      <c r="HB28" s="318">
        <f t="shared" si="29"/>
        <v>0</v>
      </c>
      <c r="HC28" s="318"/>
      <c r="HD28" s="318">
        <f t="shared" ref="HD28:HM28" si="30">HD6</f>
        <v>0</v>
      </c>
      <c r="HE28" s="318">
        <f t="shared" si="30"/>
        <v>0</v>
      </c>
      <c r="HF28" s="318">
        <f t="shared" si="30"/>
        <v>0</v>
      </c>
      <c r="HG28" s="318">
        <f t="shared" si="30"/>
        <v>0</v>
      </c>
      <c r="HH28" s="318">
        <f t="shared" si="30"/>
        <v>0</v>
      </c>
      <c r="HI28" s="318">
        <f t="shared" si="30"/>
        <v>0</v>
      </c>
      <c r="HJ28" s="318">
        <f t="shared" si="30"/>
        <v>0</v>
      </c>
      <c r="HK28" s="318">
        <f t="shared" si="30"/>
        <v>0</v>
      </c>
      <c r="HL28" s="318">
        <f t="shared" si="30"/>
        <v>0</v>
      </c>
      <c r="HM28" s="318">
        <f t="shared" si="30"/>
        <v>0</v>
      </c>
      <c r="HN28" s="315"/>
    </row>
    <row r="29" spans="1:222" ht="18" customHeight="1">
      <c r="A29" s="315"/>
      <c r="B29" s="13"/>
      <c r="C29" s="324">
        <v>2</v>
      </c>
      <c r="D29" s="317" t="s">
        <v>104</v>
      </c>
      <c r="E29" s="325"/>
      <c r="F29" s="325"/>
      <c r="G29" s="318"/>
      <c r="H29" s="18"/>
      <c r="I29" s="18"/>
      <c r="J29" s="18"/>
      <c r="K29" s="325"/>
      <c r="L29" s="319" t="s">
        <v>105</v>
      </c>
      <c r="M29" s="326"/>
      <c r="N29" s="325"/>
      <c r="O29" s="310" t="s">
        <v>63</v>
      </c>
      <c r="P29" s="298">
        <v>20</v>
      </c>
      <c r="Q29" s="327"/>
      <c r="R29" s="327" t="s">
        <v>106</v>
      </c>
      <c r="S29" s="325"/>
      <c r="T29" s="325"/>
      <c r="U29" s="325"/>
      <c r="V29" s="325"/>
      <c r="W29" s="13"/>
      <c r="X29" s="18"/>
      <c r="Y29" s="18"/>
      <c r="Z29" s="18"/>
      <c r="AA29" s="18"/>
      <c r="AB29" s="18"/>
      <c r="AC29" s="315"/>
      <c r="AD29" s="315"/>
      <c r="AE29" s="315"/>
      <c r="AF29" s="315"/>
      <c r="AG29" s="328"/>
      <c r="AH29" s="329" t="s">
        <v>107</v>
      </c>
      <c r="AI29" s="325" t="s">
        <v>106</v>
      </c>
      <c r="AJ29" s="315"/>
      <c r="AK29" s="315"/>
      <c r="AL29" s="315"/>
      <c r="AM29" s="315"/>
      <c r="AN29" s="315"/>
      <c r="AO29" s="18"/>
      <c r="AP29" s="18"/>
      <c r="AQ29" s="315"/>
      <c r="AR29" s="315"/>
      <c r="AS29" s="315"/>
      <c r="AT29" s="315"/>
      <c r="AU29" s="315"/>
      <c r="AV29" s="315"/>
      <c r="AW29" s="315"/>
      <c r="AX29" s="315"/>
      <c r="AY29" s="315"/>
      <c r="AZ29" s="325" t="s">
        <v>106</v>
      </c>
      <c r="BA29" s="315"/>
      <c r="BB29" s="315"/>
      <c r="BC29" s="315"/>
      <c r="BD29" s="315"/>
      <c r="BE29" s="315"/>
      <c r="BF29" s="18"/>
      <c r="BG29" s="18"/>
      <c r="BH29" s="315"/>
      <c r="BI29" s="315"/>
      <c r="BJ29" s="315"/>
      <c r="BK29" s="315"/>
      <c r="BL29" s="315"/>
      <c r="BM29" s="315"/>
      <c r="BN29" s="315"/>
      <c r="BO29" s="315"/>
      <c r="BP29" s="315"/>
      <c r="BQ29" s="315"/>
      <c r="BR29" s="315"/>
      <c r="BS29" s="315"/>
      <c r="BT29" s="315"/>
      <c r="BU29" s="315"/>
      <c r="BV29" s="315"/>
      <c r="BW29" s="18"/>
      <c r="BX29" s="18"/>
      <c r="BY29" s="315"/>
      <c r="BZ29" s="315"/>
      <c r="CA29" s="315"/>
      <c r="CB29" s="315"/>
      <c r="CC29" s="315"/>
      <c r="CD29" s="315"/>
      <c r="CE29" s="315"/>
      <c r="CF29" s="315"/>
      <c r="CG29" s="315"/>
      <c r="CH29" s="315"/>
      <c r="CI29" s="315"/>
      <c r="CJ29" s="315"/>
      <c r="CK29" s="315"/>
      <c r="CL29" s="315"/>
      <c r="CM29" s="315"/>
      <c r="CN29" s="18"/>
      <c r="CO29" s="18"/>
      <c r="CP29" s="315"/>
      <c r="CQ29" s="315"/>
      <c r="CR29" s="315"/>
      <c r="CS29" s="315"/>
      <c r="CT29" s="315"/>
      <c r="CU29" s="315"/>
      <c r="CV29" s="315"/>
      <c r="CW29" s="315"/>
      <c r="CX29" s="315"/>
      <c r="CY29" s="315"/>
      <c r="CZ29" s="315"/>
      <c r="DA29" s="315"/>
      <c r="DB29" s="315"/>
      <c r="DC29" s="315"/>
      <c r="DD29" s="315"/>
      <c r="DE29" s="18"/>
      <c r="DF29" s="18"/>
      <c r="DG29" s="315"/>
      <c r="DH29" s="315"/>
      <c r="DI29" s="315"/>
      <c r="DJ29" s="315"/>
      <c r="DK29" s="315"/>
      <c r="DL29" s="315"/>
      <c r="DM29" s="315"/>
      <c r="DN29" s="315"/>
      <c r="DO29" s="315"/>
      <c r="DP29" s="315"/>
      <c r="DQ29" s="315"/>
      <c r="DR29" s="315"/>
      <c r="DS29" s="315"/>
      <c r="DT29" s="315"/>
      <c r="DU29" s="315"/>
      <c r="DV29" s="18"/>
      <c r="DW29" s="18"/>
      <c r="DX29" s="315"/>
      <c r="DY29" s="315"/>
      <c r="DZ29" s="315"/>
      <c r="EA29" s="315"/>
      <c r="EB29" s="315"/>
      <c r="EC29" s="315"/>
      <c r="ED29" s="315"/>
      <c r="EE29" s="315"/>
      <c r="EF29" s="315"/>
      <c r="EG29" s="315"/>
      <c r="EH29" s="315"/>
      <c r="EI29" s="315"/>
      <c r="EJ29" s="315"/>
      <c r="EK29" s="315"/>
      <c r="EL29" s="315"/>
      <c r="EM29" s="18"/>
      <c r="EN29" s="18"/>
      <c r="EO29" s="315"/>
      <c r="EP29" s="315"/>
      <c r="EQ29" s="315"/>
      <c r="ER29" s="315"/>
      <c r="ES29" s="315"/>
      <c r="ET29" s="315"/>
      <c r="EU29" s="315"/>
      <c r="EV29" s="315"/>
      <c r="EW29" s="315"/>
      <c r="EX29" s="315"/>
      <c r="EY29" s="315"/>
      <c r="EZ29" s="315"/>
      <c r="FA29" s="315"/>
      <c r="FB29" s="315"/>
      <c r="FC29" s="315"/>
      <c r="FD29" s="18"/>
      <c r="FE29" s="18"/>
      <c r="FF29" s="315"/>
      <c r="FG29" s="315"/>
      <c r="FH29" s="315"/>
      <c r="FI29" s="315"/>
      <c r="FJ29" s="315"/>
      <c r="FK29" s="315"/>
      <c r="FL29" s="315"/>
      <c r="FM29" s="315"/>
      <c r="FN29" s="315"/>
      <c r="FO29" s="315"/>
      <c r="FP29" s="315"/>
      <c r="FQ29" s="315"/>
      <c r="FR29" s="315"/>
      <c r="FS29" s="315"/>
      <c r="FT29" s="315"/>
      <c r="FU29" s="18"/>
      <c r="FV29" s="18"/>
      <c r="FW29" s="315"/>
      <c r="FX29" s="315"/>
      <c r="FY29" s="315"/>
      <c r="FZ29" s="315"/>
      <c r="GA29" s="315"/>
      <c r="GB29" s="315"/>
      <c r="GC29" s="315"/>
      <c r="GD29" s="315"/>
      <c r="GE29" s="315"/>
      <c r="GF29" s="315"/>
      <c r="GG29" s="315"/>
      <c r="GH29" s="315"/>
      <c r="GI29" s="315"/>
      <c r="GJ29" s="315"/>
      <c r="GK29" s="315"/>
      <c r="GL29" s="18"/>
      <c r="GM29" s="18"/>
      <c r="GN29" s="315"/>
      <c r="GO29" s="315"/>
      <c r="GP29" s="315"/>
      <c r="GQ29" s="315"/>
      <c r="GR29" s="315"/>
      <c r="GS29" s="315"/>
      <c r="GT29" s="315"/>
      <c r="GU29" s="315"/>
      <c r="GV29" s="315"/>
      <c r="GW29" s="315"/>
      <c r="GX29" s="315"/>
      <c r="GY29" s="315"/>
      <c r="GZ29" s="315"/>
      <c r="HA29" s="315"/>
      <c r="HB29" s="315"/>
      <c r="HC29" s="315"/>
      <c r="HD29" s="315"/>
      <c r="HE29" s="315"/>
      <c r="HF29" s="315"/>
      <c r="HG29" s="315"/>
      <c r="HH29" s="315"/>
      <c r="HI29" s="315"/>
      <c r="HJ29" s="315"/>
      <c r="HK29" s="315"/>
      <c r="HL29" s="315"/>
      <c r="HM29" s="315"/>
      <c r="HN29" s="315"/>
    </row>
    <row r="30" spans="1:222" ht="18" customHeight="1">
      <c r="A30" s="13"/>
      <c r="B30" s="13"/>
      <c r="C30" s="324">
        <v>3</v>
      </c>
      <c r="D30" s="317" t="s">
        <v>108</v>
      </c>
      <c r="E30" s="13"/>
      <c r="F30" s="292"/>
      <c r="G30" s="318"/>
      <c r="H30" s="18"/>
      <c r="I30" s="18"/>
      <c r="J30" s="18"/>
      <c r="K30" s="13"/>
      <c r="L30" s="330" t="s">
        <v>109</v>
      </c>
      <c r="M30" s="326"/>
      <c r="N30" s="13"/>
      <c r="O30" s="331" t="s">
        <v>109</v>
      </c>
      <c r="P30" s="332">
        <v>35</v>
      </c>
      <c r="Q30" s="311"/>
      <c r="R30" s="311" t="s">
        <v>110</v>
      </c>
      <c r="S30" s="13"/>
      <c r="T30" s="13"/>
      <c r="U30" s="13"/>
      <c r="V30" s="13"/>
      <c r="W30" s="13"/>
      <c r="X30" s="18"/>
      <c r="Y30" s="18"/>
      <c r="Z30" s="18"/>
      <c r="AA30" s="18"/>
      <c r="AB30" s="18"/>
      <c r="AC30" s="13"/>
      <c r="AD30" s="13"/>
      <c r="AE30" s="13"/>
      <c r="AF30" s="13"/>
      <c r="AG30" s="13"/>
      <c r="AH30" s="13"/>
      <c r="AI30" s="13" t="s">
        <v>110</v>
      </c>
      <c r="AJ30" s="13"/>
      <c r="AK30" s="13"/>
      <c r="AL30" s="13"/>
      <c r="AM30" s="13"/>
      <c r="AN30" s="13"/>
      <c r="AO30" s="18"/>
      <c r="AP30" s="18"/>
      <c r="AQ30" s="13"/>
      <c r="AR30" s="13"/>
      <c r="AS30" s="13"/>
      <c r="AT30" s="13"/>
      <c r="AU30" s="13"/>
      <c r="AV30" s="13"/>
      <c r="AW30" s="13"/>
      <c r="AX30" s="13"/>
      <c r="AY30" s="13"/>
      <c r="AZ30" s="13" t="s">
        <v>110</v>
      </c>
      <c r="BA30" s="13"/>
      <c r="BB30" s="13"/>
      <c r="BC30" s="13"/>
      <c r="BD30" s="13"/>
      <c r="BE30" s="13"/>
      <c r="BF30" s="18"/>
      <c r="BG30" s="18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8"/>
      <c r="BX30" s="18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8"/>
      <c r="CO30" s="18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8"/>
      <c r="DF30" s="18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8"/>
      <c r="DW30" s="18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8"/>
      <c r="EN30" s="18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8"/>
      <c r="FE30" s="18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8"/>
      <c r="FV30" s="18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8"/>
      <c r="GM30" s="18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</row>
    <row r="31" spans="1:222" ht="18" customHeight="1">
      <c r="A31" s="13"/>
      <c r="B31" s="13"/>
      <c r="C31" s="324">
        <v>4</v>
      </c>
      <c r="D31" s="317" t="s">
        <v>111</v>
      </c>
      <c r="E31" s="13"/>
      <c r="F31" s="292"/>
      <c r="G31" s="318"/>
      <c r="H31" s="333" t="s">
        <v>112</v>
      </c>
      <c r="R31" s="13"/>
      <c r="S31" s="13"/>
      <c r="T31" s="13"/>
      <c r="U31" s="13"/>
      <c r="V31" s="13"/>
      <c r="W31" s="13"/>
      <c r="X31" s="18"/>
      <c r="Y31" s="18"/>
      <c r="Z31" s="18"/>
      <c r="AA31" s="18"/>
      <c r="AB31" s="18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8"/>
      <c r="AP31" s="18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8"/>
      <c r="BG31" s="18"/>
      <c r="BH31" s="13"/>
      <c r="BI31" s="13"/>
      <c r="BJ31" s="13"/>
      <c r="BK31" s="13"/>
      <c r="BL31" s="13"/>
      <c r="BM31" s="13"/>
      <c r="BN31" s="13">
        <v>1200.83</v>
      </c>
      <c r="BO31" s="13"/>
      <c r="BP31" s="13"/>
      <c r="BQ31" s="13"/>
      <c r="BR31" s="13"/>
      <c r="BS31" s="13"/>
      <c r="BT31" s="13"/>
      <c r="BU31" s="13"/>
      <c r="BV31" s="13"/>
      <c r="BW31" s="18"/>
      <c r="BX31" s="18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8"/>
      <c r="CO31" s="18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8"/>
      <c r="DF31" s="18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8"/>
      <c r="DW31" s="18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8"/>
      <c r="EN31" s="18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8"/>
      <c r="FE31" s="18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8"/>
      <c r="FV31" s="18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8"/>
      <c r="GM31" s="18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</row>
    <row r="32" spans="1:222" ht="24" customHeight="1">
      <c r="A32" s="13"/>
      <c r="B32" s="13"/>
      <c r="C32" s="324">
        <v>5</v>
      </c>
      <c r="D32" s="317" t="s">
        <v>2</v>
      </c>
      <c r="E32" s="13"/>
      <c r="F32" s="292"/>
      <c r="G32" s="318"/>
      <c r="H32" s="334" t="s">
        <v>113</v>
      </c>
      <c r="I32" s="334">
        <v>1</v>
      </c>
      <c r="J32" s="334">
        <v>2</v>
      </c>
      <c r="K32" s="334">
        <f t="shared" ref="K32:AE32" si="31">J32+1</f>
        <v>3</v>
      </c>
      <c r="L32" s="334">
        <f t="shared" si="31"/>
        <v>4</v>
      </c>
      <c r="M32" s="335">
        <f t="shared" si="31"/>
        <v>5</v>
      </c>
      <c r="N32" s="335">
        <f t="shared" si="31"/>
        <v>6</v>
      </c>
      <c r="O32" s="335">
        <f t="shared" si="31"/>
        <v>7</v>
      </c>
      <c r="P32" s="334">
        <f t="shared" si="31"/>
        <v>8</v>
      </c>
      <c r="Q32" s="334">
        <f t="shared" si="31"/>
        <v>9</v>
      </c>
      <c r="R32" s="334">
        <f t="shared" si="31"/>
        <v>10</v>
      </c>
      <c r="S32" s="334">
        <f t="shared" si="31"/>
        <v>11</v>
      </c>
      <c r="T32" s="334">
        <f t="shared" si="31"/>
        <v>12</v>
      </c>
      <c r="U32" s="334">
        <f t="shared" si="31"/>
        <v>13</v>
      </c>
      <c r="V32" s="334">
        <f t="shared" si="31"/>
        <v>14</v>
      </c>
      <c r="W32" s="334">
        <f t="shared" si="31"/>
        <v>15</v>
      </c>
      <c r="X32" s="334">
        <f t="shared" si="31"/>
        <v>16</v>
      </c>
      <c r="Y32" s="334">
        <f t="shared" si="31"/>
        <v>17</v>
      </c>
      <c r="Z32" s="334">
        <f t="shared" si="31"/>
        <v>18</v>
      </c>
      <c r="AA32" s="335">
        <f t="shared" si="31"/>
        <v>19</v>
      </c>
      <c r="AB32" s="334">
        <f t="shared" si="31"/>
        <v>20</v>
      </c>
      <c r="AC32" s="334">
        <f t="shared" si="31"/>
        <v>21</v>
      </c>
      <c r="AD32" s="334">
        <f t="shared" si="31"/>
        <v>22</v>
      </c>
      <c r="AE32" s="334">
        <f t="shared" si="31"/>
        <v>23</v>
      </c>
      <c r="AF32" s="13"/>
      <c r="AG32" s="13"/>
      <c r="AH32" s="13"/>
      <c r="AI32" s="13"/>
      <c r="AJ32" s="13"/>
      <c r="AK32" s="13"/>
      <c r="AL32" s="13"/>
      <c r="AM32" s="13"/>
      <c r="AN32" s="13"/>
      <c r="AO32" s="18"/>
      <c r="AP32" s="18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8"/>
      <c r="BG32" s="18"/>
      <c r="BH32" s="13"/>
      <c r="BI32" s="13"/>
      <c r="BJ32" s="13"/>
      <c r="BK32" s="13"/>
      <c r="BL32" s="13"/>
      <c r="BM32" s="13"/>
      <c r="BN32" s="13">
        <f>BN31/200*220</f>
        <v>1320.9129999999998</v>
      </c>
      <c r="BO32" s="13"/>
      <c r="BP32" s="13"/>
      <c r="BQ32" s="13"/>
      <c r="BR32" s="13"/>
      <c r="BS32" s="13"/>
      <c r="BT32" s="13"/>
      <c r="BU32" s="13"/>
      <c r="BV32" s="13"/>
      <c r="BW32" s="18"/>
      <c r="BX32" s="18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8"/>
      <c r="CO32" s="18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8"/>
      <c r="DF32" s="18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8"/>
      <c r="DW32" s="18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8"/>
      <c r="EN32" s="18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8"/>
      <c r="FE32" s="18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8"/>
      <c r="FV32" s="18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8"/>
      <c r="GM32" s="18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</row>
    <row r="33" spans="1:222" ht="18" customHeight="1">
      <c r="A33" s="13"/>
      <c r="B33" s="13"/>
      <c r="C33" s="324">
        <v>6</v>
      </c>
      <c r="D33" s="317" t="s">
        <v>3</v>
      </c>
      <c r="E33" s="13"/>
      <c r="F33" s="292"/>
      <c r="G33" s="318"/>
      <c r="H33" s="334"/>
      <c r="I33" s="336" t="s">
        <v>114</v>
      </c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13"/>
      <c r="AG33" s="13"/>
      <c r="AH33" s="13"/>
      <c r="AI33" s="13"/>
      <c r="AJ33" s="13"/>
      <c r="AK33" s="13"/>
      <c r="AL33" s="13"/>
      <c r="AM33" s="13"/>
      <c r="AN33" s="13"/>
      <c r="AO33" s="18"/>
      <c r="AP33" s="18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8"/>
      <c r="BG33" s="18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8"/>
      <c r="BX33" s="18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8"/>
      <c r="CO33" s="18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8"/>
      <c r="DF33" s="18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8"/>
      <c r="DW33" s="18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8"/>
      <c r="EN33" s="18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8"/>
      <c r="FE33" s="18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8"/>
      <c r="FV33" s="18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8"/>
      <c r="GM33" s="18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</row>
    <row r="34" spans="1:222" ht="18" customHeight="1">
      <c r="A34" s="13"/>
      <c r="B34" s="13"/>
      <c r="C34" s="324">
        <v>7</v>
      </c>
      <c r="D34" s="317" t="s">
        <v>4</v>
      </c>
      <c r="E34" s="13"/>
      <c r="F34" s="292"/>
      <c r="G34" s="318"/>
      <c r="H34" s="334"/>
      <c r="I34" s="338" t="s">
        <v>115</v>
      </c>
      <c r="J34" s="339" t="s">
        <v>116</v>
      </c>
      <c r="K34" s="339" t="s">
        <v>116</v>
      </c>
      <c r="L34" s="339" t="s">
        <v>116</v>
      </c>
      <c r="M34" s="340" t="s">
        <v>117</v>
      </c>
      <c r="N34" s="340" t="s">
        <v>117</v>
      </c>
      <c r="O34" s="340" t="s">
        <v>117</v>
      </c>
      <c r="P34" s="339" t="s">
        <v>118</v>
      </c>
      <c r="Q34" s="339" t="s">
        <v>118</v>
      </c>
      <c r="R34" s="339" t="s">
        <v>118</v>
      </c>
      <c r="S34" s="341" t="s">
        <v>119</v>
      </c>
      <c r="T34" s="341" t="s">
        <v>119</v>
      </c>
      <c r="U34" s="341" t="s">
        <v>119</v>
      </c>
      <c r="V34" s="342" t="s">
        <v>120</v>
      </c>
      <c r="W34" s="342" t="s">
        <v>120</v>
      </c>
      <c r="X34" s="342" t="s">
        <v>120</v>
      </c>
      <c r="Y34" s="341" t="s">
        <v>121</v>
      </c>
      <c r="Z34" s="341" t="s">
        <v>121</v>
      </c>
      <c r="AA34" s="341" t="s">
        <v>121</v>
      </c>
      <c r="AB34" s="342" t="s">
        <v>122</v>
      </c>
      <c r="AC34" s="342" t="s">
        <v>122</v>
      </c>
      <c r="AD34" s="342" t="s">
        <v>122</v>
      </c>
      <c r="AE34" s="337"/>
      <c r="AF34" s="13"/>
      <c r="AG34" s="13"/>
      <c r="AH34" s="13"/>
      <c r="AI34" s="13"/>
      <c r="AJ34" s="13"/>
      <c r="AK34" s="13"/>
      <c r="AL34" s="13"/>
      <c r="AM34" s="13"/>
      <c r="AN34" s="13"/>
      <c r="AO34" s="18"/>
      <c r="AP34" s="18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8"/>
      <c r="BG34" s="18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8"/>
      <c r="BX34" s="18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8"/>
      <c r="CO34" s="18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8"/>
      <c r="DF34" s="18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8"/>
      <c r="DW34" s="18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8"/>
      <c r="EN34" s="18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8"/>
      <c r="FE34" s="18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8"/>
      <c r="FV34" s="18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8"/>
      <c r="GM34" s="18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</row>
    <row r="35" spans="1:222" ht="18" customHeight="1">
      <c r="A35" s="13"/>
      <c r="B35" s="13"/>
      <c r="C35" s="324">
        <v>8</v>
      </c>
      <c r="D35" s="317" t="s">
        <v>5</v>
      </c>
      <c r="E35" s="13"/>
      <c r="F35" s="292"/>
      <c r="G35" s="318"/>
      <c r="H35" s="334"/>
      <c r="I35" s="338" t="s">
        <v>115</v>
      </c>
      <c r="J35" s="339" t="s">
        <v>123</v>
      </c>
      <c r="K35" s="339" t="s">
        <v>123</v>
      </c>
      <c r="L35" s="339" t="s">
        <v>124</v>
      </c>
      <c r="M35" s="340" t="s">
        <v>123</v>
      </c>
      <c r="N35" s="340" t="s">
        <v>123</v>
      </c>
      <c r="O35" s="340" t="s">
        <v>124</v>
      </c>
      <c r="P35" s="339" t="s">
        <v>123</v>
      </c>
      <c r="Q35" s="339" t="s">
        <v>123</v>
      </c>
      <c r="R35" s="339" t="s">
        <v>124</v>
      </c>
      <c r="S35" s="341" t="s">
        <v>123</v>
      </c>
      <c r="T35" s="341" t="s">
        <v>123</v>
      </c>
      <c r="U35" s="341" t="s">
        <v>124</v>
      </c>
      <c r="V35" s="342" t="s">
        <v>123</v>
      </c>
      <c r="W35" s="342" t="s">
        <v>123</v>
      </c>
      <c r="X35" s="342" t="s">
        <v>124</v>
      </c>
      <c r="Y35" s="341" t="s">
        <v>123</v>
      </c>
      <c r="Z35" s="341" t="s">
        <v>123</v>
      </c>
      <c r="AA35" s="341" t="s">
        <v>124</v>
      </c>
      <c r="AB35" s="342" t="s">
        <v>123</v>
      </c>
      <c r="AC35" s="342" t="s">
        <v>123</v>
      </c>
      <c r="AD35" s="342" t="s">
        <v>124</v>
      </c>
      <c r="AE35" s="337"/>
      <c r="AF35" s="13"/>
      <c r="AG35" s="13"/>
      <c r="AH35" s="13"/>
      <c r="AI35" s="13"/>
      <c r="AJ35" s="13"/>
      <c r="AK35" s="13"/>
      <c r="AL35" s="13"/>
      <c r="AM35" s="13"/>
      <c r="AN35" s="13"/>
      <c r="AO35" s="18"/>
      <c r="AP35" s="18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8"/>
      <c r="BG35" s="18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8"/>
      <c r="BX35" s="18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8"/>
      <c r="CO35" s="18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8"/>
      <c r="DF35" s="18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8"/>
      <c r="DW35" s="18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8"/>
      <c r="EN35" s="18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8"/>
      <c r="FE35" s="18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8"/>
      <c r="FV35" s="18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8"/>
      <c r="GM35" s="18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</row>
    <row r="36" spans="1:222" ht="18" customHeight="1">
      <c r="A36" s="13"/>
      <c r="B36" s="13"/>
      <c r="C36" s="324">
        <v>9</v>
      </c>
      <c r="D36" s="317" t="s">
        <v>6</v>
      </c>
      <c r="E36" s="13"/>
      <c r="F36" s="292"/>
      <c r="G36" s="318"/>
      <c r="H36" s="334"/>
      <c r="I36" s="343" t="s">
        <v>115</v>
      </c>
      <c r="J36" s="344" t="s">
        <v>125</v>
      </c>
      <c r="K36" s="344" t="s">
        <v>126</v>
      </c>
      <c r="L36" s="344" t="s">
        <v>127</v>
      </c>
      <c r="M36" s="345" t="s">
        <v>125</v>
      </c>
      <c r="N36" s="345" t="s">
        <v>126</v>
      </c>
      <c r="O36" s="345" t="s">
        <v>127</v>
      </c>
      <c r="P36" s="344" t="s">
        <v>125</v>
      </c>
      <c r="Q36" s="344" t="s">
        <v>126</v>
      </c>
      <c r="R36" s="344" t="s">
        <v>127</v>
      </c>
      <c r="S36" s="346" t="s">
        <v>125</v>
      </c>
      <c r="T36" s="346" t="s">
        <v>126</v>
      </c>
      <c r="U36" s="346" t="s">
        <v>127</v>
      </c>
      <c r="V36" s="347" t="s">
        <v>125</v>
      </c>
      <c r="W36" s="347" t="s">
        <v>126</v>
      </c>
      <c r="X36" s="347" t="s">
        <v>127</v>
      </c>
      <c r="Y36" s="346" t="s">
        <v>125</v>
      </c>
      <c r="Z36" s="346" t="s">
        <v>126</v>
      </c>
      <c r="AA36" s="346" t="s">
        <v>127</v>
      </c>
      <c r="AB36" s="347" t="s">
        <v>125</v>
      </c>
      <c r="AC36" s="347" t="s">
        <v>126</v>
      </c>
      <c r="AD36" s="347" t="s">
        <v>127</v>
      </c>
      <c r="AE36" s="337"/>
      <c r="AF36" s="13"/>
      <c r="AG36" s="13"/>
      <c r="AH36" s="13"/>
      <c r="AI36" s="13"/>
      <c r="AJ36" s="13"/>
      <c r="AK36" s="13"/>
      <c r="AL36" s="13"/>
      <c r="AM36" s="13"/>
      <c r="AN36" s="13"/>
      <c r="AO36" s="18"/>
      <c r="AP36" s="18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8"/>
      <c r="BG36" s="18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8"/>
      <c r="BX36" s="18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8"/>
      <c r="CO36" s="18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8"/>
      <c r="DF36" s="18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8"/>
      <c r="DW36" s="18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8"/>
      <c r="EN36" s="18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8"/>
      <c r="FE36" s="18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8"/>
      <c r="FV36" s="18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8"/>
      <c r="GM36" s="18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</row>
    <row r="37" spans="1:222" ht="18" customHeight="1">
      <c r="A37" s="13"/>
      <c r="B37" s="13"/>
      <c r="C37" s="324">
        <v>10</v>
      </c>
      <c r="D37" s="317" t="s">
        <v>7</v>
      </c>
      <c r="E37" s="13"/>
      <c r="F37" s="292"/>
      <c r="G37" s="318"/>
      <c r="H37" s="334"/>
      <c r="I37" s="110" t="s">
        <v>58</v>
      </c>
      <c r="J37" s="348">
        <v>0</v>
      </c>
      <c r="K37" s="348">
        <v>0</v>
      </c>
      <c r="L37" s="348">
        <v>0</v>
      </c>
      <c r="M37" s="349">
        <v>0</v>
      </c>
      <c r="N37" s="349">
        <v>0</v>
      </c>
      <c r="O37" s="349">
        <v>0</v>
      </c>
      <c r="P37" s="348">
        <v>20</v>
      </c>
      <c r="Q37" s="348">
        <v>0</v>
      </c>
      <c r="R37" s="348">
        <v>0</v>
      </c>
      <c r="S37" s="350">
        <v>0</v>
      </c>
      <c r="T37" s="350">
        <v>0</v>
      </c>
      <c r="U37" s="350">
        <v>0</v>
      </c>
      <c r="V37" s="351">
        <v>0</v>
      </c>
      <c r="W37" s="351">
        <v>0</v>
      </c>
      <c r="X37" s="351">
        <v>0</v>
      </c>
      <c r="Y37" s="350">
        <v>0</v>
      </c>
      <c r="Z37" s="350">
        <v>0</v>
      </c>
      <c r="AA37" s="350">
        <v>0</v>
      </c>
      <c r="AB37" s="351">
        <v>0</v>
      </c>
      <c r="AC37" s="351">
        <v>0</v>
      </c>
      <c r="AD37" s="351">
        <v>0</v>
      </c>
      <c r="AE37" s="352">
        <f t="shared" ref="AE37:AE51" si="32">SUM(J37:AD37)</f>
        <v>20</v>
      </c>
      <c r="AF37" s="13" t="s">
        <v>128</v>
      </c>
      <c r="AG37" s="13"/>
      <c r="AH37" s="13"/>
      <c r="AI37" s="13"/>
      <c r="AJ37" s="13"/>
      <c r="AK37" s="13"/>
      <c r="AL37" s="13"/>
      <c r="AM37" s="13"/>
      <c r="AN37" s="13"/>
      <c r="AO37" s="18"/>
      <c r="AP37" s="18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8"/>
      <c r="BG37" s="18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8"/>
      <c r="BX37" s="18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8"/>
      <c r="CO37" s="18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8"/>
      <c r="DF37" s="18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8"/>
      <c r="DW37" s="18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8"/>
      <c r="EN37" s="18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8"/>
      <c r="FE37" s="18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8"/>
      <c r="FV37" s="18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8"/>
      <c r="GM37" s="18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</row>
    <row r="38" spans="1:222" ht="18" customHeight="1">
      <c r="A38" s="13"/>
      <c r="B38" s="13"/>
      <c r="C38" s="324">
        <v>11</v>
      </c>
      <c r="D38" s="317" t="s">
        <v>8</v>
      </c>
      <c r="E38" s="13"/>
      <c r="F38" s="292"/>
      <c r="G38" s="318"/>
      <c r="H38" s="334"/>
      <c r="I38" s="110" t="s">
        <v>67</v>
      </c>
      <c r="J38" s="348">
        <v>0</v>
      </c>
      <c r="K38" s="348">
        <v>0</v>
      </c>
      <c r="L38" s="348">
        <v>0</v>
      </c>
      <c r="M38" s="349">
        <v>0</v>
      </c>
      <c r="N38" s="349">
        <v>0</v>
      </c>
      <c r="O38" s="349">
        <v>0</v>
      </c>
      <c r="P38" s="348">
        <v>0</v>
      </c>
      <c r="Q38" s="348">
        <v>0</v>
      </c>
      <c r="R38" s="348">
        <v>0</v>
      </c>
      <c r="S38" s="350">
        <v>0</v>
      </c>
      <c r="T38" s="350">
        <v>0</v>
      </c>
      <c r="U38" s="350">
        <v>0</v>
      </c>
      <c r="V38" s="351">
        <v>0</v>
      </c>
      <c r="W38" s="351">
        <v>0</v>
      </c>
      <c r="X38" s="351">
        <v>0</v>
      </c>
      <c r="Y38" s="350">
        <v>0</v>
      </c>
      <c r="Z38" s="350">
        <v>0</v>
      </c>
      <c r="AA38" s="350">
        <v>0</v>
      </c>
      <c r="AB38" s="351">
        <v>0</v>
      </c>
      <c r="AC38" s="351">
        <v>0</v>
      </c>
      <c r="AD38" s="351">
        <v>0</v>
      </c>
      <c r="AE38" s="352">
        <f t="shared" si="32"/>
        <v>0</v>
      </c>
      <c r="AF38" s="13" t="s">
        <v>128</v>
      </c>
      <c r="AG38" s="13"/>
      <c r="AH38" s="13"/>
      <c r="AI38" s="13"/>
      <c r="AJ38" s="13"/>
      <c r="AK38" s="13"/>
      <c r="AL38" s="13"/>
      <c r="AM38" s="13"/>
      <c r="AN38" s="13"/>
      <c r="AO38" s="18"/>
      <c r="AP38" s="18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8"/>
      <c r="BG38" s="18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8"/>
      <c r="BX38" s="18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8"/>
      <c r="CO38" s="18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8"/>
      <c r="DF38" s="18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8"/>
      <c r="DW38" s="18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8"/>
      <c r="EN38" s="18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8"/>
      <c r="FE38" s="18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8"/>
      <c r="FV38" s="18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8"/>
      <c r="GM38" s="18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</row>
    <row r="39" spans="1:222" ht="18" customHeight="1">
      <c r="A39" s="13"/>
      <c r="B39" s="13"/>
      <c r="C39" s="324">
        <v>12</v>
      </c>
      <c r="D39" s="317" t="s">
        <v>9</v>
      </c>
      <c r="E39" s="13"/>
      <c r="F39" s="292"/>
      <c r="G39" s="318"/>
      <c r="H39" s="334"/>
      <c r="I39" s="230" t="s">
        <v>69</v>
      </c>
      <c r="J39" s="348">
        <v>0</v>
      </c>
      <c r="K39" s="348">
        <v>0</v>
      </c>
      <c r="L39" s="348">
        <v>0</v>
      </c>
      <c r="M39" s="349">
        <v>0</v>
      </c>
      <c r="N39" s="349">
        <v>0</v>
      </c>
      <c r="O39" s="349">
        <v>0</v>
      </c>
      <c r="P39" s="348">
        <v>0</v>
      </c>
      <c r="Q39" s="348">
        <v>0</v>
      </c>
      <c r="R39" s="348">
        <v>0</v>
      </c>
      <c r="S39" s="350">
        <v>0</v>
      </c>
      <c r="T39" s="350">
        <v>0</v>
      </c>
      <c r="U39" s="350">
        <v>0</v>
      </c>
      <c r="V39" s="351">
        <v>0</v>
      </c>
      <c r="W39" s="351">
        <v>0</v>
      </c>
      <c r="X39" s="351">
        <v>0</v>
      </c>
      <c r="Y39" s="350">
        <v>0</v>
      </c>
      <c r="Z39" s="350">
        <v>0</v>
      </c>
      <c r="AA39" s="350">
        <v>0</v>
      </c>
      <c r="AB39" s="351">
        <v>0</v>
      </c>
      <c r="AC39" s="351">
        <v>0</v>
      </c>
      <c r="AD39" s="351">
        <v>0</v>
      </c>
      <c r="AE39" s="352">
        <f t="shared" si="32"/>
        <v>0</v>
      </c>
      <c r="AF39" s="13" t="s">
        <v>128</v>
      </c>
      <c r="AG39" s="13"/>
      <c r="AH39" s="13"/>
      <c r="AI39" s="13"/>
      <c r="AJ39" s="13"/>
      <c r="AK39" s="13"/>
      <c r="AL39" s="13"/>
      <c r="AM39" s="13"/>
      <c r="AN39" s="13"/>
      <c r="AO39" s="18"/>
      <c r="AP39" s="18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8"/>
      <c r="BG39" s="18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8"/>
      <c r="BX39" s="18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8"/>
      <c r="CO39" s="18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8"/>
      <c r="DF39" s="18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8"/>
      <c r="DW39" s="18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8"/>
      <c r="EN39" s="18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8"/>
      <c r="FE39" s="18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8"/>
      <c r="FV39" s="18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8"/>
      <c r="GM39" s="18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</row>
    <row r="40" spans="1:222" ht="18" customHeight="1">
      <c r="A40" s="13"/>
      <c r="B40" s="13"/>
      <c r="C40" s="324">
        <v>13</v>
      </c>
      <c r="D40" s="317" t="s">
        <v>129</v>
      </c>
      <c r="E40" s="13"/>
      <c r="F40" s="292"/>
      <c r="G40" s="318"/>
      <c r="H40" s="334"/>
      <c r="I40" s="230" t="s">
        <v>72</v>
      </c>
      <c r="J40" s="348">
        <v>0</v>
      </c>
      <c r="K40" s="348">
        <v>0</v>
      </c>
      <c r="L40" s="348">
        <v>7</v>
      </c>
      <c r="M40" s="349">
        <v>0</v>
      </c>
      <c r="N40" s="349">
        <v>0</v>
      </c>
      <c r="O40" s="349">
        <v>0</v>
      </c>
      <c r="P40" s="348">
        <v>0</v>
      </c>
      <c r="Q40" s="348">
        <v>0</v>
      </c>
      <c r="R40" s="348">
        <v>7</v>
      </c>
      <c r="S40" s="350">
        <v>0</v>
      </c>
      <c r="T40" s="350">
        <v>0</v>
      </c>
      <c r="U40" s="350">
        <v>0</v>
      </c>
      <c r="V40" s="351">
        <v>0</v>
      </c>
      <c r="W40" s="351">
        <v>0</v>
      </c>
      <c r="X40" s="351">
        <v>7</v>
      </c>
      <c r="Y40" s="350">
        <v>0</v>
      </c>
      <c r="Z40" s="350">
        <v>0</v>
      </c>
      <c r="AA40" s="350">
        <v>0</v>
      </c>
      <c r="AB40" s="351">
        <v>0</v>
      </c>
      <c r="AC40" s="351">
        <v>0</v>
      </c>
      <c r="AD40" s="351">
        <v>0</v>
      </c>
      <c r="AE40" s="352">
        <f t="shared" si="32"/>
        <v>21</v>
      </c>
      <c r="AF40" s="13" t="s">
        <v>128</v>
      </c>
      <c r="AG40" s="13"/>
      <c r="AH40" s="13"/>
      <c r="AI40" s="13"/>
      <c r="AJ40" s="13"/>
      <c r="AK40" s="13"/>
      <c r="AL40" s="13"/>
      <c r="AM40" s="13"/>
      <c r="AN40" s="13"/>
      <c r="AO40" s="18"/>
      <c r="AP40" s="18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8"/>
      <c r="BG40" s="18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8"/>
      <c r="BX40" s="18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8"/>
      <c r="CO40" s="18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8"/>
      <c r="DF40" s="18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8"/>
      <c r="DW40" s="18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8"/>
      <c r="EN40" s="18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8"/>
      <c r="FE40" s="18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8"/>
      <c r="FV40" s="18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8"/>
      <c r="GM40" s="18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</row>
    <row r="41" spans="1:222" ht="18" customHeight="1">
      <c r="A41" s="13"/>
      <c r="B41" s="13"/>
      <c r="C41" s="324">
        <v>14</v>
      </c>
      <c r="D41" s="317" t="s">
        <v>130</v>
      </c>
      <c r="E41" s="13"/>
      <c r="F41" s="292"/>
      <c r="G41" s="13"/>
      <c r="H41" s="334"/>
      <c r="I41" s="230" t="s">
        <v>74</v>
      </c>
      <c r="J41" s="348">
        <v>0</v>
      </c>
      <c r="K41" s="348">
        <v>0</v>
      </c>
      <c r="L41" s="348">
        <v>6</v>
      </c>
      <c r="M41" s="349">
        <v>0</v>
      </c>
      <c r="N41" s="349">
        <v>0</v>
      </c>
      <c r="O41" s="349">
        <v>0</v>
      </c>
      <c r="P41" s="348">
        <v>0</v>
      </c>
      <c r="Q41" s="348">
        <v>0</v>
      </c>
      <c r="R41" s="348">
        <v>6</v>
      </c>
      <c r="S41" s="350">
        <v>0</v>
      </c>
      <c r="T41" s="350">
        <v>0</v>
      </c>
      <c r="U41" s="350">
        <v>0</v>
      </c>
      <c r="V41" s="351">
        <v>0</v>
      </c>
      <c r="W41" s="351">
        <v>0</v>
      </c>
      <c r="X41" s="351">
        <v>6</v>
      </c>
      <c r="Y41" s="350">
        <v>0</v>
      </c>
      <c r="Z41" s="350">
        <v>0</v>
      </c>
      <c r="AA41" s="350">
        <v>0</v>
      </c>
      <c r="AB41" s="351">
        <v>0</v>
      </c>
      <c r="AC41" s="351">
        <v>0</v>
      </c>
      <c r="AD41" s="351">
        <v>0</v>
      </c>
      <c r="AE41" s="352">
        <f t="shared" si="32"/>
        <v>18</v>
      </c>
      <c r="AF41" s="13" t="s">
        <v>128</v>
      </c>
      <c r="AG41" s="13"/>
      <c r="AH41" s="13"/>
      <c r="AI41" s="13"/>
      <c r="AJ41" s="13"/>
      <c r="AK41" s="13"/>
      <c r="AL41" s="13"/>
      <c r="AM41" s="13"/>
      <c r="AN41" s="13"/>
      <c r="AO41" s="18"/>
      <c r="AP41" s="18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8"/>
      <c r="BG41" s="18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8"/>
      <c r="BX41" s="18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8"/>
      <c r="CO41" s="18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8"/>
      <c r="DF41" s="18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8"/>
      <c r="DW41" s="18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8"/>
      <c r="EN41" s="18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8"/>
      <c r="FE41" s="18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8"/>
      <c r="FV41" s="18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8"/>
      <c r="GM41" s="18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</row>
    <row r="42" spans="1:222" ht="18" customHeight="1">
      <c r="A42" s="13"/>
      <c r="B42" s="13"/>
      <c r="C42" s="324">
        <v>15</v>
      </c>
      <c r="D42" s="317" t="s">
        <v>131</v>
      </c>
      <c r="E42" s="13"/>
      <c r="F42" s="292"/>
      <c r="G42" s="18"/>
      <c r="H42" s="334"/>
      <c r="I42" s="230" t="s">
        <v>76</v>
      </c>
      <c r="J42" s="339">
        <v>0</v>
      </c>
      <c r="K42" s="339">
        <v>0</v>
      </c>
      <c r="L42" s="353">
        <v>0</v>
      </c>
      <c r="M42" s="340">
        <v>0</v>
      </c>
      <c r="N42" s="340">
        <v>0</v>
      </c>
      <c r="O42" s="354">
        <v>0</v>
      </c>
      <c r="P42" s="339">
        <v>0</v>
      </c>
      <c r="Q42" s="339">
        <v>0</v>
      </c>
      <c r="R42" s="353">
        <v>3</v>
      </c>
      <c r="S42" s="341">
        <v>0</v>
      </c>
      <c r="T42" s="341">
        <v>0</v>
      </c>
      <c r="U42" s="355">
        <v>0</v>
      </c>
      <c r="V42" s="342">
        <v>0</v>
      </c>
      <c r="W42" s="342">
        <v>0</v>
      </c>
      <c r="X42" s="356">
        <v>0</v>
      </c>
      <c r="Y42" s="341">
        <v>0</v>
      </c>
      <c r="Z42" s="341">
        <v>0</v>
      </c>
      <c r="AA42" s="355">
        <v>0</v>
      </c>
      <c r="AB42" s="342">
        <v>0</v>
      </c>
      <c r="AC42" s="342">
        <v>0</v>
      </c>
      <c r="AD42" s="356">
        <v>0</v>
      </c>
      <c r="AE42" s="352">
        <f t="shared" si="32"/>
        <v>3</v>
      </c>
      <c r="AF42" s="13" t="s">
        <v>128</v>
      </c>
      <c r="AG42" s="13"/>
      <c r="AH42" s="13"/>
      <c r="AI42" s="13"/>
      <c r="AJ42" s="13"/>
      <c r="AK42" s="13"/>
      <c r="AL42" s="13"/>
      <c r="AM42" s="13"/>
      <c r="AN42" s="13"/>
      <c r="AO42" s="18"/>
      <c r="AP42" s="18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8"/>
      <c r="BG42" s="18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8"/>
      <c r="BX42" s="18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8"/>
      <c r="CO42" s="18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8"/>
      <c r="DF42" s="18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8"/>
      <c r="DW42" s="18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8"/>
      <c r="EN42" s="18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8"/>
      <c r="FE42" s="18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8"/>
      <c r="FV42" s="18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8"/>
      <c r="GM42" s="18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</row>
    <row r="43" spans="1:222" ht="18" customHeight="1">
      <c r="A43" s="13"/>
      <c r="B43" s="13"/>
      <c r="C43" s="324">
        <v>16</v>
      </c>
      <c r="D43" s="317" t="s">
        <v>132</v>
      </c>
      <c r="E43" s="13"/>
      <c r="F43" s="292"/>
      <c r="G43" s="18"/>
      <c r="H43" s="334"/>
      <c r="I43" s="230" t="s">
        <v>78</v>
      </c>
      <c r="J43" s="353">
        <v>0</v>
      </c>
      <c r="K43" s="353">
        <v>0</v>
      </c>
      <c r="L43" s="353">
        <v>0</v>
      </c>
      <c r="M43" s="354">
        <v>0</v>
      </c>
      <c r="N43" s="354">
        <v>0</v>
      </c>
      <c r="O43" s="354">
        <v>0</v>
      </c>
      <c r="P43" s="353">
        <v>0</v>
      </c>
      <c r="Q43" s="353">
        <v>0</v>
      </c>
      <c r="R43" s="353">
        <v>0</v>
      </c>
      <c r="S43" s="355">
        <v>0</v>
      </c>
      <c r="T43" s="355">
        <v>0</v>
      </c>
      <c r="U43" s="355">
        <v>0</v>
      </c>
      <c r="V43" s="356">
        <v>0</v>
      </c>
      <c r="W43" s="356">
        <v>0</v>
      </c>
      <c r="X43" s="356">
        <v>0</v>
      </c>
      <c r="Y43" s="355">
        <v>0</v>
      </c>
      <c r="Z43" s="355">
        <v>0</v>
      </c>
      <c r="AA43" s="355">
        <v>0</v>
      </c>
      <c r="AB43" s="356">
        <v>0</v>
      </c>
      <c r="AC43" s="356">
        <v>0</v>
      </c>
      <c r="AD43" s="356">
        <v>0</v>
      </c>
      <c r="AE43" s="352">
        <f t="shared" si="32"/>
        <v>0</v>
      </c>
      <c r="AF43" s="13" t="s">
        <v>128</v>
      </c>
      <c r="AG43" s="13"/>
      <c r="AH43" s="13"/>
      <c r="AI43" s="13"/>
      <c r="AJ43" s="13"/>
      <c r="AK43" s="13"/>
      <c r="AL43" s="13"/>
      <c r="AM43" s="13"/>
      <c r="AN43" s="13"/>
      <c r="AO43" s="18"/>
      <c r="AP43" s="18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8"/>
      <c r="BG43" s="18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8"/>
      <c r="BX43" s="18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8"/>
      <c r="CO43" s="18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8"/>
      <c r="DF43" s="18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8"/>
      <c r="DW43" s="18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8"/>
      <c r="EN43" s="18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8"/>
      <c r="FE43" s="18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8"/>
      <c r="FV43" s="18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8"/>
      <c r="GM43" s="18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</row>
    <row r="44" spans="1:222" ht="15.75" customHeight="1">
      <c r="A44" s="13"/>
      <c r="B44" s="13"/>
      <c r="C44" s="324">
        <v>17</v>
      </c>
      <c r="D44" s="317" t="s">
        <v>133</v>
      </c>
      <c r="E44" s="13"/>
      <c r="F44" s="292"/>
      <c r="G44" s="18"/>
      <c r="H44" s="334"/>
      <c r="I44" s="230" t="s">
        <v>81</v>
      </c>
      <c r="J44" s="339">
        <v>0</v>
      </c>
      <c r="K44" s="339">
        <v>0</v>
      </c>
      <c r="L44" s="353">
        <v>0</v>
      </c>
      <c r="M44" s="340">
        <v>0</v>
      </c>
      <c r="N44" s="340">
        <v>0</v>
      </c>
      <c r="O44" s="354">
        <v>0</v>
      </c>
      <c r="P44" s="339">
        <v>0</v>
      </c>
      <c r="Q44" s="339">
        <v>0</v>
      </c>
      <c r="R44" s="353">
        <v>0</v>
      </c>
      <c r="S44" s="341">
        <v>0</v>
      </c>
      <c r="T44" s="341">
        <v>0</v>
      </c>
      <c r="U44" s="355">
        <v>0</v>
      </c>
      <c r="V44" s="342">
        <v>0</v>
      </c>
      <c r="W44" s="342">
        <v>0</v>
      </c>
      <c r="X44" s="356">
        <v>0</v>
      </c>
      <c r="Y44" s="341">
        <v>0</v>
      </c>
      <c r="Z44" s="341">
        <v>0</v>
      </c>
      <c r="AA44" s="355">
        <v>0</v>
      </c>
      <c r="AB44" s="342">
        <v>0</v>
      </c>
      <c r="AC44" s="342">
        <v>0</v>
      </c>
      <c r="AD44" s="356">
        <v>0</v>
      </c>
      <c r="AE44" s="352">
        <f t="shared" si="32"/>
        <v>0</v>
      </c>
      <c r="AF44" s="13" t="s">
        <v>128</v>
      </c>
      <c r="AG44" s="13"/>
      <c r="AH44" s="13"/>
      <c r="AI44" s="13"/>
      <c r="AJ44" s="13"/>
      <c r="AK44" s="13"/>
      <c r="AL44" s="13"/>
      <c r="AM44" s="13"/>
      <c r="AN44" s="13"/>
      <c r="AO44" s="18"/>
      <c r="AP44" s="18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8"/>
      <c r="BG44" s="18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8"/>
      <c r="BX44" s="18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8"/>
      <c r="CO44" s="18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8"/>
      <c r="DF44" s="18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8"/>
      <c r="DW44" s="18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8"/>
      <c r="EN44" s="18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8"/>
      <c r="FE44" s="18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8"/>
      <c r="FV44" s="18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8"/>
      <c r="GM44" s="18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</row>
    <row r="45" spans="1:222" ht="15.75" customHeight="1">
      <c r="A45" s="13"/>
      <c r="B45" s="13"/>
      <c r="C45" s="324">
        <v>18</v>
      </c>
      <c r="D45" s="317" t="s">
        <v>28</v>
      </c>
      <c r="E45" s="13"/>
      <c r="F45" s="292"/>
      <c r="G45" s="18"/>
      <c r="H45" s="334"/>
      <c r="I45" s="230" t="s">
        <v>82</v>
      </c>
      <c r="J45" s="348">
        <v>0</v>
      </c>
      <c r="K45" s="348">
        <v>0</v>
      </c>
      <c r="L45" s="348">
        <v>0</v>
      </c>
      <c r="M45" s="349">
        <v>0</v>
      </c>
      <c r="N45" s="349">
        <v>0</v>
      </c>
      <c r="O45" s="349">
        <v>0</v>
      </c>
      <c r="P45" s="348">
        <v>0</v>
      </c>
      <c r="Q45" s="348">
        <v>0</v>
      </c>
      <c r="R45" s="348">
        <v>5</v>
      </c>
      <c r="S45" s="350">
        <v>0</v>
      </c>
      <c r="T45" s="350">
        <v>0</v>
      </c>
      <c r="U45" s="350">
        <v>0</v>
      </c>
      <c r="V45" s="351">
        <v>0</v>
      </c>
      <c r="W45" s="351">
        <v>0</v>
      </c>
      <c r="X45" s="351">
        <v>0</v>
      </c>
      <c r="Y45" s="350">
        <v>0</v>
      </c>
      <c r="Z45" s="350">
        <v>0</v>
      </c>
      <c r="AA45" s="350">
        <v>0</v>
      </c>
      <c r="AB45" s="351">
        <v>0</v>
      </c>
      <c r="AC45" s="351">
        <v>0</v>
      </c>
      <c r="AD45" s="351">
        <v>0</v>
      </c>
      <c r="AE45" s="352">
        <f t="shared" si="32"/>
        <v>5</v>
      </c>
      <c r="AF45" s="13" t="s">
        <v>128</v>
      </c>
      <c r="AG45" s="13"/>
      <c r="AH45" s="13"/>
      <c r="AI45" s="13"/>
      <c r="AJ45" s="13"/>
      <c r="AK45" s="13"/>
      <c r="AL45" s="13"/>
      <c r="AM45" s="13"/>
      <c r="AN45" s="13"/>
      <c r="AO45" s="18"/>
      <c r="AP45" s="18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8"/>
      <c r="BG45" s="18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8"/>
      <c r="BX45" s="18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8"/>
      <c r="CO45" s="18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8"/>
      <c r="DF45" s="18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8"/>
      <c r="DW45" s="18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8"/>
      <c r="EN45" s="18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8"/>
      <c r="FE45" s="18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8"/>
      <c r="FV45" s="18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8"/>
      <c r="GM45" s="18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</row>
    <row r="46" spans="1:222" ht="15.75" customHeight="1">
      <c r="A46" s="13"/>
      <c r="B46" s="13"/>
      <c r="C46" s="324">
        <v>19</v>
      </c>
      <c r="D46" s="317" t="s">
        <v>29</v>
      </c>
      <c r="E46" s="13"/>
      <c r="F46" s="292"/>
      <c r="G46" s="18"/>
      <c r="H46" s="334"/>
      <c r="I46" s="230" t="s">
        <v>84</v>
      </c>
      <c r="J46" s="339">
        <v>0</v>
      </c>
      <c r="K46" s="339">
        <v>0</v>
      </c>
      <c r="L46" s="353">
        <v>0</v>
      </c>
      <c r="M46" s="340">
        <v>0</v>
      </c>
      <c r="N46" s="340">
        <v>0</v>
      </c>
      <c r="O46" s="354">
        <v>0</v>
      </c>
      <c r="P46" s="339">
        <v>0</v>
      </c>
      <c r="Q46" s="339">
        <v>0</v>
      </c>
      <c r="R46" s="353">
        <v>10</v>
      </c>
      <c r="S46" s="341">
        <v>0</v>
      </c>
      <c r="T46" s="341">
        <v>0</v>
      </c>
      <c r="U46" s="355">
        <v>2</v>
      </c>
      <c r="V46" s="342">
        <v>0</v>
      </c>
      <c r="W46" s="342">
        <v>0</v>
      </c>
      <c r="X46" s="356">
        <v>0</v>
      </c>
      <c r="Y46" s="341">
        <v>0</v>
      </c>
      <c r="Z46" s="341">
        <v>0</v>
      </c>
      <c r="AA46" s="355">
        <v>0</v>
      </c>
      <c r="AB46" s="342">
        <v>0</v>
      </c>
      <c r="AC46" s="342">
        <v>0</v>
      </c>
      <c r="AD46" s="356">
        <v>0</v>
      </c>
      <c r="AE46" s="352">
        <f t="shared" si="32"/>
        <v>12</v>
      </c>
      <c r="AF46" s="13" t="s">
        <v>128</v>
      </c>
      <c r="AG46" s="13"/>
      <c r="AH46" s="13"/>
      <c r="AI46" s="13"/>
      <c r="AJ46" s="13"/>
      <c r="AK46" s="13"/>
      <c r="AL46" s="13"/>
      <c r="AM46" s="13"/>
      <c r="AN46" s="13"/>
      <c r="AO46" s="18"/>
      <c r="AP46" s="18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8"/>
      <c r="BG46" s="18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8"/>
      <c r="BX46" s="18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8"/>
      <c r="CO46" s="18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8"/>
      <c r="DF46" s="18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8"/>
      <c r="DW46" s="18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8"/>
      <c r="EN46" s="18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8"/>
      <c r="FE46" s="18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8"/>
      <c r="FV46" s="18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8"/>
      <c r="GM46" s="18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</row>
    <row r="47" spans="1:222" ht="15.75" customHeight="1">
      <c r="A47" s="13"/>
      <c r="B47" s="13"/>
      <c r="C47" s="357"/>
      <c r="D47" s="357"/>
      <c r="E47" s="13"/>
      <c r="F47" s="292"/>
      <c r="G47" s="18"/>
      <c r="H47" s="334"/>
      <c r="I47" s="230" t="s">
        <v>86</v>
      </c>
      <c r="J47" s="339">
        <v>0</v>
      </c>
      <c r="K47" s="339">
        <v>0</v>
      </c>
      <c r="L47" s="353">
        <v>0</v>
      </c>
      <c r="M47" s="340">
        <v>0</v>
      </c>
      <c r="N47" s="340">
        <v>0</v>
      </c>
      <c r="O47" s="354">
        <v>0</v>
      </c>
      <c r="P47" s="339">
        <v>0</v>
      </c>
      <c r="Q47" s="339">
        <v>0</v>
      </c>
      <c r="R47" s="353">
        <v>0</v>
      </c>
      <c r="S47" s="341">
        <v>0</v>
      </c>
      <c r="T47" s="341">
        <v>0</v>
      </c>
      <c r="U47" s="355">
        <v>0</v>
      </c>
      <c r="V47" s="342">
        <v>0</v>
      </c>
      <c r="W47" s="342">
        <v>0</v>
      </c>
      <c r="X47" s="356">
        <v>0</v>
      </c>
      <c r="Y47" s="341">
        <v>0</v>
      </c>
      <c r="Z47" s="341">
        <v>0</v>
      </c>
      <c r="AA47" s="355">
        <v>0</v>
      </c>
      <c r="AB47" s="342">
        <v>0</v>
      </c>
      <c r="AC47" s="342">
        <v>0</v>
      </c>
      <c r="AD47" s="356">
        <v>0</v>
      </c>
      <c r="AE47" s="352">
        <f t="shared" si="32"/>
        <v>0</v>
      </c>
      <c r="AF47" s="13" t="s">
        <v>128</v>
      </c>
      <c r="AG47" s="13"/>
      <c r="AH47" s="13"/>
      <c r="AI47" s="13"/>
      <c r="AJ47" s="13"/>
      <c r="AK47" s="13"/>
      <c r="AL47" s="13"/>
      <c r="AM47" s="13"/>
      <c r="AN47" s="13"/>
      <c r="AO47" s="18"/>
      <c r="AP47" s="18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8"/>
      <c r="BG47" s="18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8"/>
      <c r="BX47" s="18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8"/>
      <c r="CO47" s="18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8"/>
      <c r="DF47" s="18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8"/>
      <c r="DW47" s="18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8"/>
      <c r="EN47" s="18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8"/>
      <c r="FE47" s="18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8"/>
      <c r="FV47" s="18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8"/>
      <c r="GM47" s="18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</row>
    <row r="48" spans="1:222" ht="15.75" customHeight="1">
      <c r="A48" s="13"/>
      <c r="B48" s="13"/>
      <c r="C48" s="358"/>
      <c r="D48" s="13"/>
      <c r="E48" s="13"/>
      <c r="F48" s="292"/>
      <c r="G48" s="18"/>
      <c r="H48" s="334"/>
      <c r="I48" s="230" t="s">
        <v>88</v>
      </c>
      <c r="J48" s="348">
        <v>0</v>
      </c>
      <c r="K48" s="348">
        <v>64</v>
      </c>
      <c r="L48" s="348">
        <v>10</v>
      </c>
      <c r="M48" s="349">
        <v>130</v>
      </c>
      <c r="N48" s="349">
        <v>32</v>
      </c>
      <c r="O48" s="349">
        <v>5</v>
      </c>
      <c r="P48" s="348">
        <v>0</v>
      </c>
      <c r="Q48" s="348">
        <v>64</v>
      </c>
      <c r="R48" s="348">
        <v>10</v>
      </c>
      <c r="S48" s="350">
        <v>130</v>
      </c>
      <c r="T48" s="350">
        <v>64</v>
      </c>
      <c r="U48" s="350">
        <v>10</v>
      </c>
      <c r="V48" s="351">
        <v>0</v>
      </c>
      <c r="W48" s="351">
        <v>0</v>
      </c>
      <c r="X48" s="351">
        <v>0</v>
      </c>
      <c r="Y48" s="350">
        <v>0</v>
      </c>
      <c r="Z48" s="350">
        <v>0</v>
      </c>
      <c r="AA48" s="350">
        <v>0</v>
      </c>
      <c r="AB48" s="351">
        <v>0</v>
      </c>
      <c r="AC48" s="351">
        <v>0</v>
      </c>
      <c r="AD48" s="351">
        <v>0</v>
      </c>
      <c r="AE48" s="352">
        <f t="shared" si="32"/>
        <v>519</v>
      </c>
      <c r="AF48" s="13" t="s">
        <v>128</v>
      </c>
      <c r="AG48" s="13"/>
      <c r="AH48" s="13"/>
      <c r="AI48" s="13"/>
      <c r="AJ48" s="13"/>
      <c r="AK48" s="13"/>
      <c r="AL48" s="13"/>
      <c r="AM48" s="13"/>
      <c r="AN48" s="13"/>
      <c r="AO48" s="18"/>
      <c r="AP48" s="18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8"/>
      <c r="BG48" s="18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8"/>
      <c r="BX48" s="18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8"/>
      <c r="CO48" s="18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8"/>
      <c r="DF48" s="18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8"/>
      <c r="DW48" s="18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8"/>
      <c r="EN48" s="18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8"/>
      <c r="FE48" s="18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8"/>
      <c r="FV48" s="18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8"/>
      <c r="GM48" s="18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</row>
    <row r="49" spans="1:222" ht="15.75" customHeight="1">
      <c r="A49" s="13"/>
      <c r="B49" s="13"/>
      <c r="C49" s="358"/>
      <c r="D49" s="13"/>
      <c r="E49" s="13"/>
      <c r="F49" s="292"/>
      <c r="G49" s="18"/>
      <c r="H49" s="334"/>
      <c r="I49" s="230" t="s">
        <v>89</v>
      </c>
      <c r="J49" s="339">
        <v>0</v>
      </c>
      <c r="K49" s="339">
        <v>0</v>
      </c>
      <c r="L49" s="353">
        <v>0</v>
      </c>
      <c r="M49" s="340">
        <v>0</v>
      </c>
      <c r="N49" s="340">
        <v>0</v>
      </c>
      <c r="O49" s="354">
        <v>0</v>
      </c>
      <c r="P49" s="339">
        <v>0</v>
      </c>
      <c r="Q49" s="339">
        <v>0</v>
      </c>
      <c r="R49" s="353">
        <v>0</v>
      </c>
      <c r="S49" s="341">
        <v>0</v>
      </c>
      <c r="T49" s="341">
        <v>0</v>
      </c>
      <c r="U49" s="355">
        <v>0</v>
      </c>
      <c r="V49" s="342">
        <v>0</v>
      </c>
      <c r="W49" s="342">
        <v>0</v>
      </c>
      <c r="X49" s="356">
        <v>0</v>
      </c>
      <c r="Y49" s="341">
        <v>0</v>
      </c>
      <c r="Z49" s="341">
        <v>0</v>
      </c>
      <c r="AA49" s="355">
        <v>0</v>
      </c>
      <c r="AB49" s="342">
        <v>0</v>
      </c>
      <c r="AC49" s="342">
        <v>0</v>
      </c>
      <c r="AD49" s="356">
        <v>0</v>
      </c>
      <c r="AE49" s="352">
        <f t="shared" si="32"/>
        <v>0</v>
      </c>
      <c r="AF49" s="13" t="s">
        <v>128</v>
      </c>
      <c r="AG49" s="13"/>
      <c r="AH49" s="13"/>
      <c r="AI49" s="13"/>
      <c r="AJ49" s="13"/>
      <c r="AK49" s="13"/>
      <c r="AL49" s="13"/>
      <c r="AM49" s="13"/>
      <c r="AN49" s="13"/>
      <c r="AO49" s="18"/>
      <c r="AP49" s="18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8"/>
      <c r="BG49" s="18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8"/>
      <c r="BX49" s="18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8"/>
      <c r="CO49" s="18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8"/>
      <c r="DF49" s="18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8"/>
      <c r="DW49" s="18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8"/>
      <c r="EN49" s="18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8"/>
      <c r="FE49" s="18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8"/>
      <c r="FV49" s="18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8"/>
      <c r="GM49" s="18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</row>
    <row r="50" spans="1:222" ht="15.75" customHeight="1">
      <c r="A50" s="13"/>
      <c r="B50" s="13"/>
      <c r="C50" s="358"/>
      <c r="D50" s="13"/>
      <c r="E50" s="13"/>
      <c r="F50" s="292"/>
      <c r="G50" s="18"/>
      <c r="H50" s="334"/>
      <c r="I50" s="230" t="s">
        <v>91</v>
      </c>
      <c r="J50" s="348">
        <v>0</v>
      </c>
      <c r="K50" s="348">
        <v>0</v>
      </c>
      <c r="L50" s="348">
        <v>0</v>
      </c>
      <c r="M50" s="349">
        <v>0</v>
      </c>
      <c r="N50" s="349">
        <v>0</v>
      </c>
      <c r="O50" s="349">
        <v>0</v>
      </c>
      <c r="P50" s="348">
        <v>0</v>
      </c>
      <c r="Q50" s="348">
        <v>40</v>
      </c>
      <c r="R50" s="348">
        <v>8</v>
      </c>
      <c r="S50" s="350">
        <v>130</v>
      </c>
      <c r="T50" s="350">
        <v>30</v>
      </c>
      <c r="U50" s="350">
        <v>8</v>
      </c>
      <c r="V50" s="351">
        <v>130</v>
      </c>
      <c r="W50" s="351">
        <v>40</v>
      </c>
      <c r="X50" s="351">
        <v>8</v>
      </c>
      <c r="Y50" s="350">
        <v>0</v>
      </c>
      <c r="Z50" s="350">
        <v>0</v>
      </c>
      <c r="AA50" s="350">
        <v>0</v>
      </c>
      <c r="AB50" s="351">
        <v>0</v>
      </c>
      <c r="AC50" s="351">
        <v>0</v>
      </c>
      <c r="AD50" s="351">
        <v>0</v>
      </c>
      <c r="AE50" s="352">
        <f t="shared" si="32"/>
        <v>394</v>
      </c>
      <c r="AF50" s="13" t="s">
        <v>128</v>
      </c>
      <c r="AG50" s="13"/>
      <c r="AH50" s="13"/>
      <c r="AI50" s="13"/>
      <c r="AJ50" s="13"/>
      <c r="AK50" s="13"/>
      <c r="AL50" s="13"/>
      <c r="AM50" s="13"/>
      <c r="AN50" s="13"/>
      <c r="AO50" s="18"/>
      <c r="AP50" s="18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8"/>
      <c r="BG50" s="18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8"/>
      <c r="BX50" s="18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8"/>
      <c r="CO50" s="18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8"/>
      <c r="DF50" s="18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8"/>
      <c r="DW50" s="18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8"/>
      <c r="EN50" s="18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8"/>
      <c r="FE50" s="18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8"/>
      <c r="FV50" s="18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8"/>
      <c r="GM50" s="18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</row>
    <row r="51" spans="1:222" ht="15.75" customHeight="1">
      <c r="A51" s="13"/>
      <c r="B51" s="13"/>
      <c r="C51" s="358"/>
      <c r="D51" s="13"/>
      <c r="E51" s="13"/>
      <c r="F51" s="292"/>
      <c r="G51" s="18"/>
      <c r="H51" s="334"/>
      <c r="I51" s="230" t="s">
        <v>92</v>
      </c>
      <c r="J51" s="348">
        <v>0</v>
      </c>
      <c r="K51" s="348">
        <v>30</v>
      </c>
      <c r="L51" s="348">
        <v>6</v>
      </c>
      <c r="M51" s="349">
        <v>100</v>
      </c>
      <c r="N51" s="349">
        <v>30</v>
      </c>
      <c r="O51" s="349">
        <v>6</v>
      </c>
      <c r="P51" s="348">
        <v>100</v>
      </c>
      <c r="Q51" s="348">
        <v>30</v>
      </c>
      <c r="R51" s="348">
        <v>6</v>
      </c>
      <c r="S51" s="350">
        <v>100</v>
      </c>
      <c r="T51" s="350">
        <v>0</v>
      </c>
      <c r="U51" s="350">
        <v>0</v>
      </c>
      <c r="V51" s="351">
        <v>0</v>
      </c>
      <c r="W51" s="351">
        <v>0</v>
      </c>
      <c r="X51" s="351">
        <v>0</v>
      </c>
      <c r="Y51" s="350">
        <v>0</v>
      </c>
      <c r="Z51" s="350">
        <v>30</v>
      </c>
      <c r="AA51" s="350">
        <v>6</v>
      </c>
      <c r="AB51" s="351">
        <v>100</v>
      </c>
      <c r="AC51" s="351">
        <v>20</v>
      </c>
      <c r="AD51" s="351">
        <v>4</v>
      </c>
      <c r="AE51" s="352">
        <f t="shared" si="32"/>
        <v>568</v>
      </c>
      <c r="AF51" s="13" t="s">
        <v>128</v>
      </c>
      <c r="AG51" s="13"/>
      <c r="AH51" s="13"/>
      <c r="AI51" s="13"/>
      <c r="AJ51" s="13"/>
      <c r="AK51" s="13"/>
      <c r="AL51" s="13"/>
      <c r="AM51" s="13"/>
      <c r="AN51" s="13"/>
      <c r="AO51" s="18"/>
      <c r="AP51" s="18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8"/>
      <c r="BG51" s="18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8"/>
      <c r="BX51" s="18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8"/>
      <c r="CO51" s="18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8"/>
      <c r="DF51" s="18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8"/>
      <c r="DW51" s="18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8"/>
      <c r="EN51" s="18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8"/>
      <c r="FE51" s="18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8"/>
      <c r="FV51" s="18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8"/>
      <c r="GM51" s="18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</row>
    <row r="52" spans="1:222" ht="15.75" customHeight="1">
      <c r="A52" s="13"/>
      <c r="B52" s="13"/>
      <c r="C52" s="358"/>
      <c r="D52" s="13"/>
      <c r="E52" s="13"/>
      <c r="F52" s="292"/>
      <c r="G52" s="18"/>
      <c r="H52" s="334"/>
      <c r="I52" s="334"/>
      <c r="J52" s="352">
        <f t="shared" ref="J52:AE52" si="33">SUM(J37:J51)</f>
        <v>0</v>
      </c>
      <c r="K52" s="352">
        <f t="shared" si="33"/>
        <v>94</v>
      </c>
      <c r="L52" s="352">
        <f t="shared" si="33"/>
        <v>29</v>
      </c>
      <c r="M52" s="352">
        <f t="shared" si="33"/>
        <v>230</v>
      </c>
      <c r="N52" s="352">
        <f t="shared" si="33"/>
        <v>62</v>
      </c>
      <c r="O52" s="352">
        <f t="shared" si="33"/>
        <v>11</v>
      </c>
      <c r="P52" s="352">
        <f t="shared" si="33"/>
        <v>120</v>
      </c>
      <c r="Q52" s="352">
        <f t="shared" si="33"/>
        <v>134</v>
      </c>
      <c r="R52" s="352">
        <f t="shared" si="33"/>
        <v>55</v>
      </c>
      <c r="S52" s="352">
        <f t="shared" si="33"/>
        <v>360</v>
      </c>
      <c r="T52" s="352">
        <f t="shared" si="33"/>
        <v>94</v>
      </c>
      <c r="U52" s="352">
        <f t="shared" si="33"/>
        <v>20</v>
      </c>
      <c r="V52" s="352">
        <f t="shared" si="33"/>
        <v>130</v>
      </c>
      <c r="W52" s="352">
        <f t="shared" si="33"/>
        <v>40</v>
      </c>
      <c r="X52" s="352">
        <f t="shared" si="33"/>
        <v>21</v>
      </c>
      <c r="Y52" s="352">
        <f t="shared" si="33"/>
        <v>0</v>
      </c>
      <c r="Z52" s="352">
        <f t="shared" si="33"/>
        <v>30</v>
      </c>
      <c r="AA52" s="352">
        <f t="shared" si="33"/>
        <v>6</v>
      </c>
      <c r="AB52" s="352">
        <f t="shared" si="33"/>
        <v>100</v>
      </c>
      <c r="AC52" s="352">
        <f t="shared" si="33"/>
        <v>20</v>
      </c>
      <c r="AD52" s="352">
        <f t="shared" si="33"/>
        <v>4</v>
      </c>
      <c r="AE52" s="352">
        <f t="shared" si="33"/>
        <v>1560</v>
      </c>
      <c r="AF52" s="13" t="s">
        <v>128</v>
      </c>
      <c r="AG52" s="13"/>
      <c r="AH52" s="13"/>
      <c r="AI52" s="13"/>
      <c r="AJ52" s="13"/>
      <c r="AK52" s="13"/>
      <c r="AL52" s="13"/>
      <c r="AM52" s="13"/>
      <c r="AN52" s="13"/>
      <c r="AO52" s="18"/>
      <c r="AP52" s="18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8"/>
      <c r="BG52" s="18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8"/>
      <c r="BX52" s="18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8"/>
      <c r="CO52" s="18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8"/>
      <c r="DF52" s="18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8"/>
      <c r="DW52" s="18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8"/>
      <c r="EN52" s="18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8"/>
      <c r="FE52" s="18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8"/>
      <c r="FV52" s="18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8"/>
      <c r="GM52" s="18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</row>
    <row r="53" spans="1:222" ht="15.75" customHeight="1">
      <c r="A53" s="13"/>
      <c r="B53" s="13"/>
      <c r="C53" s="358"/>
      <c r="D53" s="13"/>
      <c r="E53" s="13"/>
      <c r="F53" s="292"/>
      <c r="G53" s="18"/>
      <c r="H53" s="18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8"/>
      <c r="Y53" s="18"/>
      <c r="Z53" s="18"/>
      <c r="AA53" s="18"/>
      <c r="AB53" s="18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8"/>
      <c r="AP53" s="18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8"/>
      <c r="BG53" s="18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8"/>
      <c r="BX53" s="18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8"/>
      <c r="CO53" s="18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8"/>
      <c r="DF53" s="18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8"/>
      <c r="DW53" s="18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8"/>
      <c r="EN53" s="18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8"/>
      <c r="FE53" s="18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8"/>
      <c r="FV53" s="18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8"/>
      <c r="GM53" s="18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</row>
    <row r="54" spans="1:222" ht="15.75" customHeight="1">
      <c r="A54" s="13"/>
      <c r="B54" s="13"/>
      <c r="C54" s="358"/>
      <c r="D54" s="13"/>
      <c r="E54" s="13"/>
      <c r="F54" s="292"/>
      <c r="G54" s="18"/>
      <c r="H54" s="18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8"/>
      <c r="Y54" s="18"/>
      <c r="Z54" s="18"/>
      <c r="AA54" s="18"/>
      <c r="AB54" s="18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8"/>
      <c r="AP54" s="18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8"/>
      <c r="BG54" s="18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8"/>
      <c r="BX54" s="18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8"/>
      <c r="CO54" s="18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8"/>
      <c r="DF54" s="18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8"/>
      <c r="DW54" s="18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8"/>
      <c r="EN54" s="18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8"/>
      <c r="FE54" s="18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8"/>
      <c r="FV54" s="18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8"/>
      <c r="GM54" s="18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</row>
    <row r="55" spans="1:222" ht="15.75" customHeight="1">
      <c r="A55" s="13"/>
      <c r="B55" s="13"/>
      <c r="C55" s="358"/>
      <c r="D55" s="13"/>
      <c r="E55" s="13"/>
      <c r="F55" s="292"/>
      <c r="G55" s="18"/>
      <c r="H55" s="359" t="s">
        <v>134</v>
      </c>
      <c r="I55" s="360">
        <v>1</v>
      </c>
      <c r="J55" s="360">
        <v>2</v>
      </c>
      <c r="K55" s="360">
        <f t="shared" ref="K55:S55" si="34">J55+1</f>
        <v>3</v>
      </c>
      <c r="L55" s="360">
        <f t="shared" si="34"/>
        <v>4</v>
      </c>
      <c r="M55" s="360">
        <f t="shared" si="34"/>
        <v>5</v>
      </c>
      <c r="N55" s="360">
        <f t="shared" si="34"/>
        <v>6</v>
      </c>
      <c r="O55" s="360">
        <f t="shared" si="34"/>
        <v>7</v>
      </c>
      <c r="P55" s="360">
        <f t="shared" si="34"/>
        <v>8</v>
      </c>
      <c r="Q55" s="360">
        <f t="shared" si="34"/>
        <v>9</v>
      </c>
      <c r="R55" s="360">
        <f t="shared" si="34"/>
        <v>10</v>
      </c>
      <c r="S55" s="360">
        <f t="shared" si="34"/>
        <v>11</v>
      </c>
      <c r="T55" s="13"/>
      <c r="U55" s="13"/>
      <c r="V55" s="13"/>
      <c r="W55" s="13"/>
      <c r="X55" s="18"/>
      <c r="Y55" s="18"/>
      <c r="Z55" s="18"/>
      <c r="AA55" s="18"/>
      <c r="AB55" s="18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8"/>
      <c r="AP55" s="18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8"/>
      <c r="BG55" s="18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8"/>
      <c r="BX55" s="18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8"/>
      <c r="CO55" s="18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8"/>
      <c r="DF55" s="18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8"/>
      <c r="DW55" s="18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8"/>
      <c r="EN55" s="18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8"/>
      <c r="FE55" s="18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8"/>
      <c r="FV55" s="18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8"/>
      <c r="GM55" s="18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</row>
    <row r="56" spans="1:222" ht="15.75" customHeight="1">
      <c r="A56" s="13"/>
      <c r="B56" s="13"/>
      <c r="C56" s="13"/>
      <c r="D56" s="13"/>
      <c r="E56" s="13"/>
      <c r="F56" s="361" t="s">
        <v>135</v>
      </c>
      <c r="G56" s="18"/>
      <c r="H56" s="359"/>
      <c r="I56" s="362" t="s">
        <v>22</v>
      </c>
      <c r="J56" s="362" t="s">
        <v>136</v>
      </c>
      <c r="K56" s="362" t="s">
        <v>137</v>
      </c>
      <c r="L56" s="363" t="s">
        <v>138</v>
      </c>
      <c r="M56" s="363" t="s">
        <v>139</v>
      </c>
      <c r="N56" s="362" t="s">
        <v>140</v>
      </c>
      <c r="O56" s="362" t="s">
        <v>136</v>
      </c>
      <c r="P56" s="362" t="s">
        <v>137</v>
      </c>
      <c r="Q56" s="363" t="s">
        <v>138</v>
      </c>
      <c r="R56" s="363" t="s">
        <v>139</v>
      </c>
      <c r="S56" s="362" t="s">
        <v>140</v>
      </c>
      <c r="T56" s="13"/>
      <c r="U56" s="13"/>
      <c r="V56" s="13"/>
      <c r="W56" s="13"/>
      <c r="X56" s="18"/>
      <c r="Y56" s="18"/>
      <c r="Z56" s="18"/>
      <c r="AA56" s="18"/>
      <c r="AB56" s="18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8"/>
      <c r="AP56" s="18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8"/>
      <c r="BG56" s="18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8"/>
      <c r="BX56" s="18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8"/>
      <c r="CO56" s="18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8"/>
      <c r="DF56" s="18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8"/>
      <c r="DW56" s="18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8"/>
      <c r="EN56" s="18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8"/>
      <c r="FE56" s="18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8"/>
      <c r="FV56" s="18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8"/>
      <c r="GM56" s="18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</row>
    <row r="57" spans="1:222" ht="15.75" customHeight="1">
      <c r="A57" s="13"/>
      <c r="B57" s="13"/>
      <c r="C57" s="13"/>
      <c r="D57" s="13"/>
      <c r="E57" s="13"/>
      <c r="F57" s="292"/>
      <c r="G57" s="18"/>
      <c r="H57" s="359"/>
      <c r="I57" s="364" t="s">
        <v>78</v>
      </c>
      <c r="J57" s="365">
        <f>20*20*2</f>
        <v>800</v>
      </c>
      <c r="K57" s="365">
        <f t="shared" ref="K57:N57" si="35">11*20*2</f>
        <v>440</v>
      </c>
      <c r="L57" s="366">
        <f t="shared" si="35"/>
        <v>440</v>
      </c>
      <c r="M57" s="365">
        <f t="shared" si="35"/>
        <v>440</v>
      </c>
      <c r="N57" s="365">
        <f t="shared" si="35"/>
        <v>440</v>
      </c>
      <c r="O57" s="13"/>
      <c r="P57" s="13"/>
      <c r="Q57" s="13"/>
      <c r="R57" s="13"/>
      <c r="S57" s="13"/>
      <c r="T57" s="13"/>
      <c r="U57" s="13"/>
      <c r="V57" s="13"/>
      <c r="W57" s="13"/>
      <c r="X57" s="18"/>
      <c r="Y57" s="18"/>
      <c r="Z57" s="18"/>
      <c r="AA57" s="18"/>
      <c r="AB57" s="18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8"/>
      <c r="AP57" s="18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8"/>
      <c r="BG57" s="18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8"/>
      <c r="BX57" s="18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8"/>
      <c r="CO57" s="18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8"/>
      <c r="DF57" s="18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8"/>
      <c r="DW57" s="18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8"/>
      <c r="EN57" s="18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8"/>
      <c r="FE57" s="18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8"/>
      <c r="FV57" s="18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8"/>
      <c r="GM57" s="18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</row>
    <row r="58" spans="1:222" ht="15.75" customHeight="1">
      <c r="A58" s="13"/>
      <c r="B58" s="13"/>
      <c r="C58" s="13"/>
      <c r="D58" s="13"/>
      <c r="E58" s="13"/>
      <c r="F58" s="292"/>
      <c r="G58" s="18"/>
      <c r="H58" s="359"/>
      <c r="I58" s="367" t="s">
        <v>58</v>
      </c>
      <c r="O58" s="368">
        <f>3*20*2</f>
        <v>120</v>
      </c>
      <c r="P58" s="368">
        <f>2*20*2</f>
        <v>80</v>
      </c>
      <c r="Q58" s="369">
        <f t="shared" ref="Q58:R58" si="36">1*20*2</f>
        <v>40</v>
      </c>
      <c r="R58" s="369">
        <f t="shared" si="36"/>
        <v>40</v>
      </c>
      <c r="S58" s="368">
        <v>40</v>
      </c>
      <c r="T58" s="13"/>
      <c r="U58" s="13"/>
      <c r="V58" s="13"/>
      <c r="W58" s="13"/>
      <c r="X58" s="18"/>
      <c r="Y58" s="18"/>
      <c r="Z58" s="18"/>
      <c r="AA58" s="18"/>
      <c r="AB58" s="18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8"/>
      <c r="AP58" s="18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8"/>
      <c r="BG58" s="18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8"/>
      <c r="BX58" s="18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8"/>
      <c r="CO58" s="18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8"/>
      <c r="DF58" s="18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8"/>
      <c r="DW58" s="18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8"/>
      <c r="EN58" s="18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8"/>
      <c r="FE58" s="18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8"/>
      <c r="FV58" s="18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8"/>
      <c r="GM58" s="18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</row>
    <row r="59" spans="1:222" ht="15.75" customHeight="1">
      <c r="A59" s="13"/>
      <c r="B59" s="13"/>
      <c r="C59" s="13"/>
      <c r="D59" s="13"/>
      <c r="E59" s="13"/>
      <c r="F59" s="292"/>
      <c r="G59" s="18"/>
      <c r="H59" s="359"/>
      <c r="I59" s="364" t="s">
        <v>72</v>
      </c>
      <c r="J59" s="366">
        <f>3*20*2</f>
        <v>120</v>
      </c>
      <c r="K59" s="366">
        <f>2*20*2</f>
        <v>80</v>
      </c>
      <c r="L59" s="366">
        <f t="shared" ref="L59:N59" si="37">1*20*2</f>
        <v>40</v>
      </c>
      <c r="M59" s="366">
        <f t="shared" si="37"/>
        <v>40</v>
      </c>
      <c r="N59" s="366">
        <f t="shared" si="37"/>
        <v>40</v>
      </c>
      <c r="O59" s="13"/>
      <c r="P59" s="13"/>
      <c r="Q59" s="13"/>
      <c r="R59" s="13"/>
      <c r="S59" s="13"/>
      <c r="T59" s="13"/>
      <c r="U59" s="13"/>
      <c r="V59" s="13"/>
      <c r="W59" s="13"/>
      <c r="X59" s="18"/>
      <c r="Y59" s="18"/>
      <c r="Z59" s="18"/>
      <c r="AA59" s="18"/>
      <c r="AB59" s="18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8"/>
      <c r="AP59" s="18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8"/>
      <c r="BG59" s="18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8"/>
      <c r="BX59" s="18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8"/>
      <c r="CO59" s="18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8"/>
      <c r="DF59" s="18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8"/>
      <c r="DW59" s="18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8"/>
      <c r="EN59" s="18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8"/>
      <c r="FE59" s="18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8"/>
      <c r="FV59" s="18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8"/>
      <c r="GM59" s="18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</row>
    <row r="60" spans="1:222" ht="15.75" customHeight="1">
      <c r="A60" s="13"/>
      <c r="B60" s="13"/>
      <c r="C60" s="13"/>
      <c r="D60" s="13"/>
      <c r="E60" s="13"/>
      <c r="F60" s="292"/>
      <c r="G60" s="18"/>
      <c r="H60" s="359"/>
      <c r="I60" s="364" t="s">
        <v>91</v>
      </c>
      <c r="J60" s="366">
        <f>6*20*2</f>
        <v>240</v>
      </c>
      <c r="K60" s="366">
        <f>3*20*2</f>
        <v>120</v>
      </c>
      <c r="L60" s="366">
        <f t="shared" ref="L60:N60" si="38">2*20*2</f>
        <v>80</v>
      </c>
      <c r="M60" s="366">
        <f t="shared" si="38"/>
        <v>80</v>
      </c>
      <c r="N60" s="366">
        <f t="shared" si="38"/>
        <v>80</v>
      </c>
      <c r="O60" s="13"/>
      <c r="P60" s="13"/>
      <c r="Q60" s="13"/>
      <c r="R60" s="13"/>
      <c r="S60" s="13"/>
      <c r="T60" s="13"/>
      <c r="U60" s="13"/>
      <c r="V60" s="13"/>
      <c r="W60" s="13"/>
      <c r="X60" s="18"/>
      <c r="Y60" s="18"/>
      <c r="Z60" s="18"/>
      <c r="AA60" s="18"/>
      <c r="AB60" s="18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8"/>
      <c r="AP60" s="18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8"/>
      <c r="BG60" s="18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8"/>
      <c r="BX60" s="18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8"/>
      <c r="CO60" s="18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8"/>
      <c r="DF60" s="18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8"/>
      <c r="DW60" s="18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8"/>
      <c r="EN60" s="18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8"/>
      <c r="FE60" s="18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8"/>
      <c r="FV60" s="18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8"/>
      <c r="GM60" s="18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</row>
    <row r="61" spans="1:222" ht="15.75" customHeight="1">
      <c r="A61" s="13"/>
      <c r="B61" s="13"/>
      <c r="C61" s="13"/>
      <c r="D61" s="13"/>
      <c r="E61" s="13"/>
      <c r="F61" s="292"/>
      <c r="G61" s="18"/>
      <c r="H61" s="359"/>
      <c r="I61" s="364" t="s">
        <v>92</v>
      </c>
      <c r="J61" s="366">
        <f>3*20*2</f>
        <v>120</v>
      </c>
      <c r="K61" s="366">
        <f t="shared" ref="K61:L61" si="39">2*20*2</f>
        <v>80</v>
      </c>
      <c r="L61" s="366">
        <f t="shared" si="39"/>
        <v>80</v>
      </c>
      <c r="M61" s="366">
        <f t="shared" ref="M61:N61" si="40">1*20*2</f>
        <v>40</v>
      </c>
      <c r="N61" s="366">
        <f t="shared" si="40"/>
        <v>40</v>
      </c>
      <c r="O61" s="13"/>
      <c r="P61" s="13"/>
      <c r="Q61" s="13"/>
      <c r="R61" s="13"/>
      <c r="S61" s="13"/>
      <c r="T61" s="13"/>
      <c r="U61" s="13"/>
      <c r="V61" s="13"/>
      <c r="W61" s="13"/>
      <c r="X61" s="18"/>
      <c r="Y61" s="18"/>
      <c r="Z61" s="18"/>
      <c r="AA61" s="18"/>
      <c r="AB61" s="18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8"/>
      <c r="AP61" s="18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8"/>
      <c r="BG61" s="18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8"/>
      <c r="BX61" s="18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8"/>
      <c r="CO61" s="18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8"/>
      <c r="DF61" s="18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8"/>
      <c r="DW61" s="18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8"/>
      <c r="EN61" s="18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8"/>
      <c r="FE61" s="18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8"/>
      <c r="FV61" s="18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8"/>
      <c r="GM61" s="18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</row>
    <row r="62" spans="1:222" ht="15.75" customHeight="1">
      <c r="A62" s="13"/>
      <c r="B62" s="13"/>
      <c r="C62" s="13"/>
      <c r="D62" s="13"/>
      <c r="E62" s="13"/>
      <c r="F62" s="292"/>
      <c r="G62" s="18"/>
      <c r="H62" s="359"/>
      <c r="I62" s="367" t="s">
        <v>82</v>
      </c>
      <c r="O62" s="369">
        <f>2*20*2</f>
        <v>80</v>
      </c>
      <c r="P62" s="369">
        <f t="shared" ref="P62:S62" si="41">1*20*2</f>
        <v>40</v>
      </c>
      <c r="Q62" s="369">
        <f t="shared" si="41"/>
        <v>40</v>
      </c>
      <c r="R62" s="369">
        <f t="shared" si="41"/>
        <v>40</v>
      </c>
      <c r="S62" s="369">
        <f t="shared" si="41"/>
        <v>40</v>
      </c>
      <c r="T62" s="13"/>
      <c r="U62" s="13"/>
      <c r="V62" s="13"/>
      <c r="W62" s="13"/>
      <c r="X62" s="18"/>
      <c r="Y62" s="18"/>
      <c r="Z62" s="18"/>
      <c r="AA62" s="18"/>
      <c r="AB62" s="18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8"/>
      <c r="AP62" s="18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8"/>
      <c r="BG62" s="18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8"/>
      <c r="BX62" s="18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8"/>
      <c r="CO62" s="18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8"/>
      <c r="DF62" s="18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8"/>
      <c r="DW62" s="18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8"/>
      <c r="EN62" s="18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8"/>
      <c r="FE62" s="18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8"/>
      <c r="FV62" s="18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8"/>
      <c r="GM62" s="18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</row>
    <row r="63" spans="1:222" ht="15.75" customHeight="1">
      <c r="H63" s="370"/>
      <c r="I63" s="370" t="str">
        <f t="shared" ref="I63:I64" si="42">I38</f>
        <v>CAÇAPAVA-DO-SUL__CS</v>
      </c>
      <c r="J63" s="370"/>
      <c r="K63" s="370"/>
      <c r="L63" s="370"/>
      <c r="M63" s="370"/>
      <c r="N63" s="370"/>
      <c r="O63" s="370"/>
      <c r="P63" s="370"/>
      <c r="Q63" s="370"/>
      <c r="R63" s="370"/>
      <c r="S63" s="370"/>
    </row>
    <row r="64" spans="1:222" ht="15.75" customHeight="1">
      <c r="I64" s="338" t="str">
        <f t="shared" si="42"/>
        <v>FREDERICO-WESTFALEN__FW</v>
      </c>
    </row>
    <row r="65" spans="9:9" ht="15.75" customHeight="1">
      <c r="I65" s="338" t="str">
        <f t="shared" ref="I65:I66" si="43">I41</f>
        <v xml:space="preserve">JULIO-DE-CASTILHOS__JC </v>
      </c>
    </row>
    <row r="66" spans="9:9" ht="15.75" customHeight="1">
      <c r="I66" s="338" t="str">
        <f t="shared" si="43"/>
        <v>PANAMBI__PB</v>
      </c>
    </row>
    <row r="67" spans="9:9" ht="15.75" customHeight="1">
      <c r="I67" s="338" t="str">
        <f>I44</f>
        <v>SANTA-ROSA__SR</v>
      </c>
    </row>
    <row r="68" spans="9:9" ht="15.75" customHeight="1">
      <c r="I68" s="338" t="str">
        <f t="shared" ref="I68:I71" si="44">I46</f>
        <v>SANTO-ANGELO__SAN</v>
      </c>
    </row>
    <row r="69" spans="9:9" ht="15.75" customHeight="1">
      <c r="I69" s="338" t="str">
        <f t="shared" si="44"/>
        <v>SANTO-AUGUSTO_SA</v>
      </c>
    </row>
    <row r="70" spans="9:9" ht="15.75" customHeight="1">
      <c r="I70" s="338" t="str">
        <f t="shared" si="44"/>
        <v>SAO-BORJA__SB</v>
      </c>
    </row>
    <row r="71" spans="9:9" ht="15.75" customHeight="1">
      <c r="I71" s="338" t="str">
        <f t="shared" si="44"/>
        <v>SAO-LUIZ-GONZAGA__SLG</v>
      </c>
    </row>
    <row r="72" spans="9:9" ht="15.75" customHeight="1"/>
    <row r="73" spans="9:9" ht="15.75" customHeight="1"/>
    <row r="74" spans="9:9" ht="15.75" customHeight="1"/>
    <row r="75" spans="9:9" ht="15.75" customHeight="1"/>
    <row r="76" spans="9:9" ht="15.75" customHeight="1"/>
    <row r="77" spans="9:9" ht="15.75" customHeight="1"/>
    <row r="78" spans="9:9" ht="15.75" customHeight="1"/>
    <row r="79" spans="9:9" ht="15.75" customHeight="1"/>
    <row r="80" spans="9: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4:24" ht="15.75" customHeight="1"/>
    <row r="98" spans="24:24" ht="15.75" customHeight="1"/>
    <row r="99" spans="24:24" ht="15.75" customHeight="1"/>
    <row r="100" spans="24:24" ht="15.75" customHeight="1"/>
    <row r="101" spans="24:24" ht="15.75" customHeight="1"/>
    <row r="102" spans="24:24" ht="15.75" customHeight="1"/>
    <row r="103" spans="24:24" ht="15.75" customHeight="1"/>
    <row r="104" spans="24:24" ht="15.75" customHeight="1">
      <c r="X104" s="371"/>
    </row>
    <row r="105" spans="24:24" ht="15.75" customHeight="1">
      <c r="X105" s="371"/>
    </row>
    <row r="106" spans="24:24" ht="15.75" customHeight="1">
      <c r="X106" s="371"/>
    </row>
    <row r="107" spans="24:24" ht="15.75" customHeight="1">
      <c r="X107" s="371"/>
    </row>
    <row r="108" spans="24:24" ht="15.75" customHeight="1">
      <c r="X108" s="371"/>
    </row>
    <row r="109" spans="24:24" ht="15.75" customHeight="1">
      <c r="X109" s="371"/>
    </row>
    <row r="110" spans="24:24" ht="15.75" customHeight="1">
      <c r="X110" s="371"/>
    </row>
    <row r="111" spans="24:24" ht="15.75" customHeight="1">
      <c r="X111" s="371"/>
    </row>
    <row r="112" spans="24:24" ht="15.75" customHeight="1">
      <c r="X112" s="371"/>
    </row>
    <row r="113" spans="24:24" ht="15.75" customHeight="1">
      <c r="X113" s="371"/>
    </row>
    <row r="114" spans="24:24" ht="15.75" customHeight="1">
      <c r="X114" s="371"/>
    </row>
    <row r="115" spans="24:24" ht="15.75" customHeight="1">
      <c r="X115" s="371"/>
    </row>
    <row r="116" spans="24:24" ht="15.75" customHeight="1">
      <c r="X116" s="371"/>
    </row>
    <row r="117" spans="24:24" ht="15.75" customHeight="1">
      <c r="X117" s="371"/>
    </row>
    <row r="118" spans="24:24" ht="15.75" customHeight="1">
      <c r="X118" s="371"/>
    </row>
    <row r="119" spans="24:24" ht="15.75" customHeight="1">
      <c r="X119" s="371"/>
    </row>
    <row r="120" spans="24:24" ht="15.75" customHeight="1">
      <c r="X120" s="371"/>
    </row>
    <row r="121" spans="24:24" ht="15.75" customHeight="1">
      <c r="X121" s="372"/>
    </row>
    <row r="122" spans="24:24" ht="15.75" customHeight="1">
      <c r="X122" s="372"/>
    </row>
    <row r="123" spans="24:24" ht="15.75" customHeight="1">
      <c r="X123" s="372"/>
    </row>
    <row r="124" spans="24:24" ht="15.75" customHeight="1">
      <c r="X124" s="372"/>
    </row>
    <row r="125" spans="24:24" ht="15.75" customHeight="1"/>
    <row r="126" spans="24:24" ht="15.75" customHeight="1"/>
    <row r="127" spans="24:24" ht="15.75" customHeight="1"/>
    <row r="128" spans="24:24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</sheetData>
  <mergeCells count="321">
    <mergeCell ref="L18:M18"/>
    <mergeCell ref="L19:M19"/>
    <mergeCell ref="L20:M20"/>
    <mergeCell ref="L13:M13"/>
    <mergeCell ref="AT13:AU13"/>
    <mergeCell ref="AT14:AU14"/>
    <mergeCell ref="AC20:AD20"/>
    <mergeCell ref="AC21:AD21"/>
    <mergeCell ref="AC22:AD22"/>
    <mergeCell ref="AC23:AD23"/>
    <mergeCell ref="AC24:AD24"/>
    <mergeCell ref="AT24:AU24"/>
    <mergeCell ref="AC13:AD13"/>
    <mergeCell ref="AC14:AD14"/>
    <mergeCell ref="AC15:AD15"/>
    <mergeCell ref="AC16:AD16"/>
    <mergeCell ref="AC17:AD17"/>
    <mergeCell ref="AC18:AD18"/>
    <mergeCell ref="AC19:AD19"/>
    <mergeCell ref="L21:M21"/>
    <mergeCell ref="L22:M22"/>
    <mergeCell ref="L23:M23"/>
    <mergeCell ref="L24:M24"/>
    <mergeCell ref="L14:M14"/>
    <mergeCell ref="L15:M15"/>
    <mergeCell ref="L16:M16"/>
    <mergeCell ref="L17:M17"/>
    <mergeCell ref="L10:M10"/>
    <mergeCell ref="AC10:AD10"/>
    <mergeCell ref="AT10:AU10"/>
    <mergeCell ref="AC11:AD11"/>
    <mergeCell ref="AT11:AU11"/>
    <mergeCell ref="L11:M11"/>
    <mergeCell ref="L12:M12"/>
    <mergeCell ref="AC12:AD12"/>
    <mergeCell ref="AT12:AU12"/>
    <mergeCell ref="AT22:AU22"/>
    <mergeCell ref="AT23:AU23"/>
    <mergeCell ref="AT15:AU15"/>
    <mergeCell ref="AT16:AU16"/>
    <mergeCell ref="AT17:AU17"/>
    <mergeCell ref="AT18:AU18"/>
    <mergeCell ref="AT19:AU19"/>
    <mergeCell ref="AT20:AU20"/>
    <mergeCell ref="AT21:AU21"/>
    <mergeCell ref="GQ17:GR17"/>
    <mergeCell ref="GQ19:GR19"/>
    <mergeCell ref="GQ20:GR20"/>
    <mergeCell ref="GQ21:GR21"/>
    <mergeCell ref="GQ23:GR23"/>
    <mergeCell ref="GQ24:GR24"/>
    <mergeCell ref="GK7:GK9"/>
    <mergeCell ref="GL7:GL9"/>
    <mergeCell ref="GQ10:GR10"/>
    <mergeCell ref="GQ12:GR12"/>
    <mergeCell ref="GQ13:GR13"/>
    <mergeCell ref="GQ14:GR14"/>
    <mergeCell ref="GQ15:GR15"/>
    <mergeCell ref="FU7:FU9"/>
    <mergeCell ref="FW7:FW9"/>
    <mergeCell ref="FX7:FX9"/>
    <mergeCell ref="FY7:GA7"/>
    <mergeCell ref="GB7:GD7"/>
    <mergeCell ref="GE7:GE9"/>
    <mergeCell ref="GF7:GF9"/>
    <mergeCell ref="FZ10:GA10"/>
    <mergeCell ref="GQ16:GR16"/>
    <mergeCell ref="FZ23:GA23"/>
    <mergeCell ref="FZ24:GA24"/>
    <mergeCell ref="FI19:FJ19"/>
    <mergeCell ref="FI20:FJ20"/>
    <mergeCell ref="FI21:FJ21"/>
    <mergeCell ref="FI23:FJ23"/>
    <mergeCell ref="FI24:FJ24"/>
    <mergeCell ref="FI10:FJ10"/>
    <mergeCell ref="FI12:FJ12"/>
    <mergeCell ref="FI13:FJ13"/>
    <mergeCell ref="FI14:FJ14"/>
    <mergeCell ref="FI15:FJ15"/>
    <mergeCell ref="FI16:FJ16"/>
    <mergeCell ref="FI17:FJ17"/>
    <mergeCell ref="FZ14:GA14"/>
    <mergeCell ref="FZ15:GA15"/>
    <mergeCell ref="FZ13:GA13"/>
    <mergeCell ref="FZ16:GA16"/>
    <mergeCell ref="FZ12:GA12"/>
    <mergeCell ref="FZ17:GA17"/>
    <mergeCell ref="FZ19:GA19"/>
    <mergeCell ref="FZ20:GA20"/>
    <mergeCell ref="FZ21:GA21"/>
    <mergeCell ref="FO7:FO9"/>
    <mergeCell ref="FT7:FT9"/>
    <mergeCell ref="FC7:FC9"/>
    <mergeCell ref="FD7:FD9"/>
    <mergeCell ref="FF7:FF9"/>
    <mergeCell ref="FG7:FG9"/>
    <mergeCell ref="FH7:FJ7"/>
    <mergeCell ref="FK7:FM7"/>
    <mergeCell ref="FN7:FN9"/>
    <mergeCell ref="ER12:ES12"/>
    <mergeCell ref="EA13:EB13"/>
    <mergeCell ref="ER13:ES13"/>
    <mergeCell ref="EA14:EB14"/>
    <mergeCell ref="ER14:ES14"/>
    <mergeCell ref="ER15:ES15"/>
    <mergeCell ref="ER23:ES23"/>
    <mergeCell ref="ER24:ES24"/>
    <mergeCell ref="EQ7:ES7"/>
    <mergeCell ref="ER10:ES10"/>
    <mergeCell ref="ER16:ES16"/>
    <mergeCell ref="ER17:ES17"/>
    <mergeCell ref="ER19:ES19"/>
    <mergeCell ref="ER20:ES20"/>
    <mergeCell ref="ER21:ES21"/>
    <mergeCell ref="EA10:EB10"/>
    <mergeCell ref="EA15:EB15"/>
    <mergeCell ref="EA16:EB16"/>
    <mergeCell ref="EA17:EB17"/>
    <mergeCell ref="EA19:EB19"/>
    <mergeCell ref="EA20:EB20"/>
    <mergeCell ref="EA21:EB21"/>
    <mergeCell ref="EA23:EB23"/>
    <mergeCell ref="EA24:EB24"/>
    <mergeCell ref="EA12:EB12"/>
    <mergeCell ref="DJ21:DK21"/>
    <mergeCell ref="DJ22:DK22"/>
    <mergeCell ref="DJ23:DK23"/>
    <mergeCell ref="DJ24:DK24"/>
    <mergeCell ref="DJ10:DK10"/>
    <mergeCell ref="DJ11:DK11"/>
    <mergeCell ref="DJ12:DK12"/>
    <mergeCell ref="DJ13:DK13"/>
    <mergeCell ref="DJ14:DK14"/>
    <mergeCell ref="DJ15:DK15"/>
    <mergeCell ref="DJ16:DK16"/>
    <mergeCell ref="DH7:DH9"/>
    <mergeCell ref="DI7:DK7"/>
    <mergeCell ref="DL7:DN7"/>
    <mergeCell ref="DO7:DO9"/>
    <mergeCell ref="DP7:DP9"/>
    <mergeCell ref="DJ17:DK17"/>
    <mergeCell ref="DJ18:DK18"/>
    <mergeCell ref="DJ19:DK19"/>
    <mergeCell ref="DJ20:DK20"/>
    <mergeCell ref="CP7:CP9"/>
    <mergeCell ref="CQ7:CQ9"/>
    <mergeCell ref="CR7:CT7"/>
    <mergeCell ref="CU7:CW7"/>
    <mergeCell ref="CX7:CX9"/>
    <mergeCell ref="CY7:CY9"/>
    <mergeCell ref="DD7:DD9"/>
    <mergeCell ref="DE7:DE9"/>
    <mergeCell ref="DG7:DG9"/>
    <mergeCell ref="BK19:BL19"/>
    <mergeCell ref="BK20:BL20"/>
    <mergeCell ref="BK21:BL21"/>
    <mergeCell ref="BK23:BL23"/>
    <mergeCell ref="BK24:BL24"/>
    <mergeCell ref="BK10:BL10"/>
    <mergeCell ref="BK12:BL12"/>
    <mergeCell ref="BK13:BL13"/>
    <mergeCell ref="BK14:BL14"/>
    <mergeCell ref="BK15:BL15"/>
    <mergeCell ref="BK16:BL16"/>
    <mergeCell ref="BK17:BL17"/>
    <mergeCell ref="CS15:CT15"/>
    <mergeCell ref="CS16:CT16"/>
    <mergeCell ref="CS17:CT17"/>
    <mergeCell ref="CS19:CT19"/>
    <mergeCell ref="CS20:CT20"/>
    <mergeCell ref="CS21:CT21"/>
    <mergeCell ref="CS23:CT23"/>
    <mergeCell ref="CS24:CT24"/>
    <mergeCell ref="CB10:CC10"/>
    <mergeCell ref="CS10:CT10"/>
    <mergeCell ref="CB12:CC12"/>
    <mergeCell ref="CS12:CT12"/>
    <mergeCell ref="CB13:CC13"/>
    <mergeCell ref="CS13:CT13"/>
    <mergeCell ref="CS14:CT14"/>
    <mergeCell ref="CB23:CC23"/>
    <mergeCell ref="CB24:CC24"/>
    <mergeCell ref="CB14:CC14"/>
    <mergeCell ref="CB15:CC15"/>
    <mergeCell ref="CB16:CC16"/>
    <mergeCell ref="CB17:CC17"/>
    <mergeCell ref="CB19:CC19"/>
    <mergeCell ref="CB20:CC20"/>
    <mergeCell ref="CB21:CC21"/>
    <mergeCell ref="CH7:CH9"/>
    <mergeCell ref="CM7:CM9"/>
    <mergeCell ref="CN7:CN9"/>
    <mergeCell ref="BJ7:BL7"/>
    <mergeCell ref="BM7:BO7"/>
    <mergeCell ref="BP7:BP9"/>
    <mergeCell ref="BQ7:BQ9"/>
    <mergeCell ref="BV7:BV9"/>
    <mergeCell ref="BW7:BW9"/>
    <mergeCell ref="BY7:BY9"/>
    <mergeCell ref="AO7:AO9"/>
    <mergeCell ref="AQ7:AQ9"/>
    <mergeCell ref="AR7:AR9"/>
    <mergeCell ref="AS7:AU7"/>
    <mergeCell ref="AV7:AX7"/>
    <mergeCell ref="AY7:AY9"/>
    <mergeCell ref="AZ7:AZ9"/>
    <mergeCell ref="BD7:BD9"/>
    <mergeCell ref="BE7:BE9"/>
    <mergeCell ref="B1:D1"/>
    <mergeCell ref="B5:D5"/>
    <mergeCell ref="G5:W5"/>
    <mergeCell ref="X5:AN5"/>
    <mergeCell ref="AO5:BE5"/>
    <mergeCell ref="BF5:BV5"/>
    <mergeCell ref="BW5:CM5"/>
    <mergeCell ref="AO6:BE6"/>
    <mergeCell ref="BF6:BV6"/>
    <mergeCell ref="BW6:CM6"/>
    <mergeCell ref="B6:B9"/>
    <mergeCell ref="C6:C9"/>
    <mergeCell ref="D6:D9"/>
    <mergeCell ref="E6:E9"/>
    <mergeCell ref="F6:F9"/>
    <mergeCell ref="G6:W6"/>
    <mergeCell ref="X6:AN6"/>
    <mergeCell ref="O8:O9"/>
    <mergeCell ref="AC8:AC9"/>
    <mergeCell ref="FD6:FT6"/>
    <mergeCell ref="FU6:GK6"/>
    <mergeCell ref="GL6:HB6"/>
    <mergeCell ref="GN7:GN9"/>
    <mergeCell ref="GO7:GO9"/>
    <mergeCell ref="GP7:GR7"/>
    <mergeCell ref="GS7:GU7"/>
    <mergeCell ref="GT8:GT9"/>
    <mergeCell ref="CN5:DD5"/>
    <mergeCell ref="DE5:DU5"/>
    <mergeCell ref="DV5:EL5"/>
    <mergeCell ref="EM5:FC5"/>
    <mergeCell ref="FD5:FT5"/>
    <mergeCell ref="FU5:GK5"/>
    <mergeCell ref="GL5:HB5"/>
    <mergeCell ref="CN6:DD6"/>
    <mergeCell ref="DE6:DU6"/>
    <mergeCell ref="DV6:EL6"/>
    <mergeCell ref="EM6:FC6"/>
    <mergeCell ref="CT8:CT9"/>
    <mergeCell ref="CV8:CV9"/>
    <mergeCell ref="DJ8:DJ9"/>
    <mergeCell ref="DK8:DK9"/>
    <mergeCell ref="DM8:DM9"/>
    <mergeCell ref="EC7:EE7"/>
    <mergeCell ref="EF7:EF9"/>
    <mergeCell ref="ED8:ED9"/>
    <mergeCell ref="GV7:GV9"/>
    <mergeCell ref="GW7:GW9"/>
    <mergeCell ref="FL8:FL9"/>
    <mergeCell ref="FZ8:FZ9"/>
    <mergeCell ref="GA8:GA9"/>
    <mergeCell ref="GC8:GC9"/>
    <mergeCell ref="GQ8:GQ9"/>
    <mergeCell ref="GR8:GR9"/>
    <mergeCell ref="ER8:ER9"/>
    <mergeCell ref="ES8:ES9"/>
    <mergeCell ref="EU8:EU9"/>
    <mergeCell ref="FI8:FI9"/>
    <mergeCell ref="FJ8:FJ9"/>
    <mergeCell ref="EW7:EW9"/>
    <mergeCell ref="EX7:EX9"/>
    <mergeCell ref="EG7:EG9"/>
    <mergeCell ref="EL7:EL9"/>
    <mergeCell ref="EM7:EM9"/>
    <mergeCell ref="EO7:EO9"/>
    <mergeCell ref="EP7:EP9"/>
    <mergeCell ref="ET7:EV7"/>
    <mergeCell ref="AT8:AT9"/>
    <mergeCell ref="AU8:AU9"/>
    <mergeCell ref="AW8:AW9"/>
    <mergeCell ref="EA8:EA9"/>
    <mergeCell ref="EB8:EB9"/>
    <mergeCell ref="DU7:DU9"/>
    <mergeCell ref="DV7:DV9"/>
    <mergeCell ref="DX7:DX9"/>
    <mergeCell ref="DY7:DY9"/>
    <mergeCell ref="DZ7:EB7"/>
    <mergeCell ref="BK8:BK9"/>
    <mergeCell ref="BL8:BL9"/>
    <mergeCell ref="BN8:BN9"/>
    <mergeCell ref="CB8:CB9"/>
    <mergeCell ref="CC8:CC9"/>
    <mergeCell ref="CE8:CE9"/>
    <mergeCell ref="CS8:CS9"/>
    <mergeCell ref="BF7:BF9"/>
    <mergeCell ref="BH7:BH9"/>
    <mergeCell ref="BI7:BI9"/>
    <mergeCell ref="BZ7:BZ9"/>
    <mergeCell ref="CA7:CC7"/>
    <mergeCell ref="CD7:CF7"/>
    <mergeCell ref="CG7:CG9"/>
    <mergeCell ref="AI7:AI9"/>
    <mergeCell ref="AM7:AM9"/>
    <mergeCell ref="AN7:AN9"/>
    <mergeCell ref="L8:L9"/>
    <mergeCell ref="M8:M9"/>
    <mergeCell ref="G7:G9"/>
    <mergeCell ref="I7:I9"/>
    <mergeCell ref="J7:J9"/>
    <mergeCell ref="K7:M7"/>
    <mergeCell ref="AD8:AD9"/>
    <mergeCell ref="AF8:AF9"/>
    <mergeCell ref="N7:P7"/>
    <mergeCell ref="Q7:Q9"/>
    <mergeCell ref="R7:R9"/>
    <mergeCell ref="V7:V9"/>
    <mergeCell ref="W7:W9"/>
    <mergeCell ref="X7:X9"/>
    <mergeCell ref="Z7:Z9"/>
    <mergeCell ref="AA7:AA9"/>
    <mergeCell ref="AB7:AD7"/>
    <mergeCell ref="AE7:AG7"/>
    <mergeCell ref="AH7:AH9"/>
  </mergeCells>
  <dataValidations count="7">
    <dataValidation type="list" allowBlank="1" sqref="P11:P24 AG11:AG24 AX11:AX24 FM11:FM24 GD11:GD24 GU11:GU24" xr:uid="{00000000-0002-0000-0100-000001000000}">
      <formula1>$P$26:$P$30</formula1>
    </dataValidation>
    <dataValidation type="list" allowBlank="1" showErrorMessage="1" sqref="P10 AG10 AX10 FM10 GD10 GU10 BO10:BO24 CF10:CF24 CW10:CW24 DN10:DN24 EE10:EE24 EV10:EV24" xr:uid="{00000000-0002-0000-0100-000002000000}">
      <formula1>$P$26:$P$30</formula1>
    </dataValidation>
    <dataValidation type="list" allowBlank="1" showErrorMessage="1" sqref="U10:U24 AL10:AL24 BC10:BC24 BT10:BT24 CK10:CK24 DB10:DB24 DS10:DS24 EJ10:EJ24 FA10:FA24 FR10:FR24 GI10:GI24 GZ10:GZ24" xr:uid="{00000000-0002-0000-0100-000003000000}">
      <formula1>$U$8:$U$9</formula1>
    </dataValidation>
    <dataValidation type="list" allowBlank="1" showErrorMessage="1" sqref="O10:O24 AF10:AF24 AW10:AW24 BN10:BN24 CE10:CE24 CV10:CV24 DM10:DM24 ED10:ED24 EU10:EU24 FL10:FL24 GC10:GC24 GT10:GT24" xr:uid="{00000000-0002-0000-0100-000004000000}">
      <formula1>$O$26:$O$29</formula1>
    </dataValidation>
    <dataValidation type="list" allowBlank="1" sqref="C3" xr:uid="{00000000-0002-0000-0100-000005000000}">
      <formula1>"Reexibir Todas,quantidades,cct,Salarios,Add Função,Ad Insalub,Dias VT,Dias VA"</formula1>
    </dataValidation>
    <dataValidation type="list" allowBlank="1" showErrorMessage="1" sqref="H10:H24 Y10:Y24 AP10:AP24 BG10:BG24 BX10:BX24 CO10:CO24 DF10:DF24 DW10:DW24 EN10:EN24 FE10:FE24 FV10:FV24 GM10:GM24" xr:uid="{00000000-0002-0000-0100-000006000000}">
      <formula1>$H$8:$H$9</formula1>
    </dataValidation>
    <dataValidation type="list" allowBlank="1" showErrorMessage="1" sqref="BK10 CB10 CS10 EA10 ER10 FI10 FZ10 GQ10 BK11:BL11 CB11:CC11 CS11:CT11 EA11:EB11 ER11:ES11 FI11:FJ11 FZ11:GA11 GQ11:GR11 BK12:BK17 CB12:CB17 CS12:CS17 EA12:EA17 ER12:ER17 FI12:FI17 FZ12:FZ17 GQ12:GQ17 BK18:BL18 CB18:CC18 CS18:CT18 EA18:EB18 ER18:ES18 FI18:FJ18 FZ18:GA18 GQ18:GR18 BK19:BK21 CB19:CB21 CS19:CS21 EA19:EA21 ER19:ER21 FI19:FI21 FZ19:FZ21 GQ19:GQ21 BK22:BL22 CB22:CC22 CS22:CT22 EA22:EB22 ER22:ES22 FI22:FJ22 FZ22:GA22 GQ22:GR22 L10:L24 AC10:AC24 AT10:AT24 BK23:BK24 CB23:CB24 CS23:CS24 DJ10:DJ24 EA23:EA24 ER23:ER24 FI23:FI24 FZ23:FZ24 GQ23:GQ24" xr:uid="{00000000-0002-0000-0100-000007000000}">
      <formula1>$L$26:$L$29</formula1>
    </dataValidation>
  </dataValidations>
  <printOptions horizontalCentered="1" verticalCentered="1"/>
  <pageMargins left="0.25" right="0.25" top="0.75" bottom="0.75" header="0" footer="0"/>
  <pageSetup paperSize="9" scale="40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'DADOS-CADASTRAIS'!$C$6:$C$71</xm:f>
          </x14:formula1>
          <xm:sqref>I10:I24 Z10:Z24 AQ10:AQ24 BH10:BH24 BY10:BY24 CP10:CP24 DG10:DG24 DX10:DX24 EO10:EO24 FF10:FF24 FW10:FW24 GN10:GN24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000"/>
  <sheetViews>
    <sheetView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11.26953125" customWidth="1"/>
    <col min="4" max="4" width="13.26953125" customWidth="1"/>
    <col min="5" max="5" width="14.453125" customWidth="1"/>
    <col min="6" max="6" width="12.453125" customWidth="1"/>
    <col min="7" max="7" width="15.08984375" customWidth="1"/>
    <col min="8" max="8" width="14.453125" customWidth="1"/>
    <col min="9" max="9" width="11.26953125" customWidth="1"/>
    <col min="10" max="10" width="14.54296875" customWidth="1"/>
    <col min="11" max="11" width="1.453125" customWidth="1"/>
  </cols>
  <sheetData>
    <row r="1" spans="1:11" ht="11.25" customHeight="1">
      <c r="A1" s="1031"/>
      <c r="B1" s="1031"/>
      <c r="C1" s="1031"/>
      <c r="D1" s="1031"/>
      <c r="E1" s="1031"/>
      <c r="F1" s="1031"/>
      <c r="G1" s="1031"/>
      <c r="H1" s="1031"/>
      <c r="I1" s="1031"/>
      <c r="J1" s="1291"/>
      <c r="K1" s="1031"/>
    </row>
    <row r="2" spans="1:11" ht="11.25" customHeight="1">
      <c r="A2" s="1031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</row>
    <row r="3" spans="1:11" ht="11.25" customHeight="1">
      <c r="A3" s="1031"/>
      <c r="B3" s="1737" t="str">
        <f>'1-ABA-DE-CARREGAMENTO'!M33</f>
        <v>A NÃO TEM MAIS POSTOS-88</v>
      </c>
      <c r="C3" s="1575"/>
      <c r="D3" s="1575"/>
      <c r="E3" s="1575"/>
      <c r="F3" s="1575"/>
      <c r="G3" s="1575"/>
      <c r="H3" s="1575"/>
      <c r="I3" s="1575"/>
      <c r="J3" s="1608"/>
      <c r="K3" s="720"/>
    </row>
    <row r="4" spans="1:11" ht="11.25" customHeight="1">
      <c r="A4" s="1031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</row>
    <row r="5" spans="1:11" ht="11.25" customHeight="1">
      <c r="A5" s="1031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</row>
    <row r="6" spans="1:11" ht="11.25" customHeight="1">
      <c r="A6" s="1031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</row>
    <row r="7" spans="1:11" ht="11.25" customHeight="1">
      <c r="A7" s="1031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</row>
    <row r="8" spans="1:11" ht="11.25" customHeight="1">
      <c r="A8" s="1031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</row>
    <row r="9" spans="1:11" ht="11.25" customHeight="1">
      <c r="A9" s="1031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</row>
    <row r="10" spans="1:11" ht="11.25" customHeight="1">
      <c r="A10" s="1031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VLOOKUP('1-ABA-DE-CARREGAMENTO'!M35,'DADOS-CADASTRAIS'!C6:O71,1,0)</f>
        <v>RS000947/2019-</v>
      </c>
      <c r="J10" s="1478"/>
      <c r="K10" s="721"/>
    </row>
    <row r="11" spans="1:11" ht="11.25" customHeight="1">
      <c r="A11" s="1031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'1-ABA-DE-CARREGAMENTO'!M94</f>
        <v>30</v>
      </c>
      <c r="J11" s="1478"/>
      <c r="K11" s="721"/>
    </row>
    <row r="12" spans="1:11" ht="11.25" customHeight="1">
      <c r="A12" s="1031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</row>
    <row r="13" spans="1:11" ht="40.5" customHeight="1">
      <c r="A13" s="1031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</row>
    <row r="14" spans="1:11" ht="11.25" hidden="1" customHeight="1" outlineLevel="1">
      <c r="A14" s="1031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</row>
    <row r="15" spans="1:11" ht="11.25" hidden="1" customHeight="1" outlineLevel="1">
      <c r="A15" s="1031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</row>
    <row r="16" spans="1:11" ht="11.25" hidden="1" customHeight="1" outlineLevel="1">
      <c r="A16" s="1031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</row>
    <row r="17" spans="1:11" ht="11.25" customHeight="1" collapsed="1">
      <c r="A17" s="1031"/>
      <c r="B17" s="1611" t="str">
        <f>B3</f>
        <v>A NÃO TEM MAIS POSTOS-88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'1-ABA-DE-CARREGAMENTO'!M92</f>
        <v>0</v>
      </c>
      <c r="J17" s="1478"/>
      <c r="K17" s="728"/>
    </row>
    <row r="18" spans="1:11" ht="11.25" hidden="1" customHeight="1" outlineLevel="1">
      <c r="A18" s="1031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</row>
    <row r="19" spans="1:11" ht="11.25" hidden="1" customHeight="1" outlineLevel="1">
      <c r="A19" s="1031"/>
      <c r="B19" s="1611" t="s">
        <v>1401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</row>
    <row r="20" spans="1:11" ht="11.25" customHeight="1" collapsed="1">
      <c r="A20" s="1031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0</v>
      </c>
      <c r="J20" s="1478"/>
      <c r="K20" s="729"/>
    </row>
    <row r="21" spans="1:11" ht="11.25" customHeight="1">
      <c r="A21" s="1031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</row>
    <row r="22" spans="1:11" ht="11.25" customHeight="1">
      <c r="A22" s="1031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</row>
    <row r="23" spans="1:11" ht="11.25" customHeight="1">
      <c r="A23" s="1031"/>
      <c r="B23" s="1618"/>
      <c r="C23" s="1477"/>
      <c r="D23" s="1477"/>
      <c r="E23" s="1477"/>
      <c r="F23" s="1477"/>
      <c r="G23" s="1477"/>
      <c r="H23" s="1477"/>
      <c r="I23" s="1477"/>
      <c r="J23" s="1478"/>
      <c r="K23" s="459"/>
    </row>
    <row r="24" spans="1:11" ht="15" customHeight="1">
      <c r="A24" s="1031"/>
      <c r="B24" s="1726" t="s">
        <v>1402</v>
      </c>
      <c r="C24" s="1477"/>
      <c r="D24" s="1477"/>
      <c r="E24" s="1477"/>
      <c r="F24" s="1477"/>
      <c r="G24" s="1477"/>
      <c r="H24" s="1477"/>
      <c r="I24" s="1477"/>
      <c r="J24" s="1478"/>
      <c r="K24" s="1034"/>
    </row>
    <row r="25" spans="1:11" ht="15" customHeight="1">
      <c r="A25" s="1031"/>
      <c r="B25" s="1727"/>
      <c r="C25" s="1477"/>
      <c r="D25" s="1477"/>
      <c r="E25" s="1477"/>
      <c r="F25" s="1477"/>
      <c r="G25" s="1477"/>
      <c r="H25" s="1477"/>
      <c r="I25" s="1477"/>
      <c r="J25" s="1478"/>
      <c r="K25" s="1035"/>
    </row>
    <row r="26" spans="1:11" ht="11.2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</row>
    <row r="27" spans="1:11" ht="31.5" customHeight="1">
      <c r="A27" s="1031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'1-ABA-DE-CARREGAMENTO'!M33</f>
        <v>A NÃO TEM MAIS POSTOS-88</v>
      </c>
      <c r="J27" s="1478"/>
      <c r="K27" s="732"/>
    </row>
    <row r="28" spans="1:11" ht="11.25" customHeight="1">
      <c r="A28" s="1031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787"/>
      <c r="J28" s="1478"/>
      <c r="K28" s="734"/>
    </row>
    <row r="29" spans="1:11" ht="30" customHeight="1">
      <c r="A29" s="1031"/>
      <c r="B29" s="696">
        <v>3</v>
      </c>
      <c r="C29" s="1625" t="s">
        <v>336</v>
      </c>
      <c r="D29" s="1468"/>
      <c r="E29" s="1036">
        <v>220</v>
      </c>
      <c r="F29" s="737">
        <f>'1-ABA-DE-CARREGAMENTO'!M37</f>
        <v>0</v>
      </c>
      <c r="G29" s="722" t="s">
        <v>1171</v>
      </c>
      <c r="H29" s="1276">
        <f>'1-ABA-DE-CARREGAMENTO'!M52</f>
        <v>220</v>
      </c>
      <c r="I29" s="1626">
        <f>F29/E29*H29</f>
        <v>0</v>
      </c>
      <c r="J29" s="1478"/>
      <c r="K29" s="1037"/>
    </row>
    <row r="30" spans="1:11" ht="11.25" customHeight="1">
      <c r="A30" s="1031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</row>
    <row r="31" spans="1:11" ht="11.25" customHeight="1">
      <c r="A31" s="1031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'1-ABA-DE-CARREGAMENTO'!M36</f>
        <v>01 de FEVEREIRO</v>
      </c>
      <c r="J31" s="1478"/>
      <c r="K31" s="742"/>
    </row>
    <row r="32" spans="1:11" ht="12.75" customHeight="1">
      <c r="A32" s="1031"/>
      <c r="B32" s="1038">
        <v>6</v>
      </c>
      <c r="C32" s="1560" t="s">
        <v>1403</v>
      </c>
      <c r="D32" s="1477"/>
      <c r="E32" s="1477"/>
      <c r="F32" s="1477"/>
      <c r="G32" s="1477"/>
      <c r="H32" s="1478"/>
      <c r="I32" s="1630">
        <f>ROUND(I29/220,2)*0</f>
        <v>0</v>
      </c>
      <c r="J32" s="1478"/>
      <c r="K32" s="744"/>
    </row>
    <row r="33" spans="1:11" ht="24.75" customHeight="1">
      <c r="A33" s="1031"/>
      <c r="B33" s="1038">
        <v>7</v>
      </c>
      <c r="C33" s="1560" t="s">
        <v>1404</v>
      </c>
      <c r="D33" s="1477"/>
      <c r="E33" s="1477"/>
      <c r="F33" s="1478"/>
      <c r="G33" s="1631"/>
      <c r="H33" s="1478"/>
      <c r="I33" s="1630">
        <f>SUM(J47:J50)/220</f>
        <v>0</v>
      </c>
      <c r="J33" s="1478"/>
      <c r="K33" s="744"/>
    </row>
    <row r="34" spans="1:11" ht="24.75" customHeight="1">
      <c r="A34" s="1031"/>
      <c r="B34" s="1038">
        <v>8</v>
      </c>
      <c r="C34" s="1560" t="s">
        <v>1405</v>
      </c>
      <c r="D34" s="1477"/>
      <c r="E34" s="1477"/>
      <c r="F34" s="1478"/>
      <c r="G34" s="1631"/>
      <c r="H34" s="1478"/>
      <c r="I34" s="1630">
        <f>TRUNC(I33*1.5,2)*0</f>
        <v>0</v>
      </c>
      <c r="J34" s="1478"/>
      <c r="K34" s="744"/>
    </row>
    <row r="35" spans="1:11" ht="24.75" customHeight="1">
      <c r="A35" s="1031"/>
      <c r="B35" s="1038">
        <v>9</v>
      </c>
      <c r="C35" s="1560" t="s">
        <v>1406</v>
      </c>
      <c r="D35" s="1477"/>
      <c r="E35" s="1477"/>
      <c r="F35" s="1478"/>
      <c r="G35" s="1631" t="s">
        <v>344</v>
      </c>
      <c r="H35" s="1478"/>
      <c r="I35" s="1753">
        <f>I33*1.5</f>
        <v>0</v>
      </c>
      <c r="J35" s="1478"/>
      <c r="K35" s="1039"/>
    </row>
    <row r="36" spans="1:11" ht="24.75" customHeight="1">
      <c r="A36" s="1031"/>
      <c r="B36" s="1038">
        <v>10</v>
      </c>
      <c r="C36" s="1560" t="s">
        <v>1407</v>
      </c>
      <c r="D36" s="1477"/>
      <c r="E36" s="1477"/>
      <c r="F36" s="1477"/>
      <c r="G36" s="1477"/>
      <c r="H36" s="1478"/>
      <c r="I36" s="1630">
        <f>TRUNC(1.3*I32*0.2,2)</f>
        <v>0</v>
      </c>
      <c r="J36" s="1478"/>
      <c r="K36" s="744"/>
    </row>
    <row r="37" spans="1:11" ht="24.75" customHeight="1">
      <c r="A37" s="1031"/>
      <c r="B37" s="1038">
        <v>11</v>
      </c>
      <c r="C37" s="1560" t="s">
        <v>1408</v>
      </c>
      <c r="D37" s="1477"/>
      <c r="E37" s="1477"/>
      <c r="F37" s="1477"/>
      <c r="G37" s="1477"/>
      <c r="H37" s="1478"/>
      <c r="I37" s="1630">
        <f>I33*2</f>
        <v>0</v>
      </c>
      <c r="J37" s="1478"/>
      <c r="K37" s="744"/>
    </row>
    <row r="38" spans="1:11" ht="14.25" customHeight="1">
      <c r="A38" s="1031"/>
      <c r="B38" s="1038">
        <v>12</v>
      </c>
      <c r="C38" s="1560" t="s">
        <v>1409</v>
      </c>
      <c r="D38" s="1477"/>
      <c r="E38" s="1477"/>
      <c r="F38" s="1477"/>
      <c r="G38" s="1477"/>
      <c r="H38" s="1478"/>
      <c r="I38" s="1630">
        <f>I29*'1-ABA-DE-CARREGAMENTO'!D44</f>
        <v>0</v>
      </c>
      <c r="J38" s="1478"/>
      <c r="K38" s="744"/>
    </row>
    <row r="39" spans="1:11" ht="14.25" customHeight="1">
      <c r="A39" s="1031"/>
      <c r="B39" s="1038">
        <v>13</v>
      </c>
      <c r="C39" s="1560" t="s">
        <v>348</v>
      </c>
      <c r="D39" s="1477"/>
      <c r="E39" s="1477"/>
      <c r="F39" s="1477"/>
      <c r="G39" s="1477"/>
      <c r="H39" s="1478"/>
      <c r="I39" s="1630">
        <f>ROUND(I32/6,2)*1.3</f>
        <v>0</v>
      </c>
      <c r="J39" s="1478"/>
      <c r="K39" s="744"/>
    </row>
    <row r="40" spans="1:11" ht="11.25" customHeight="1">
      <c r="A40" s="1031"/>
      <c r="B40" s="1038">
        <v>14</v>
      </c>
      <c r="C40" s="1789" t="s">
        <v>349</v>
      </c>
      <c r="D40" s="1477"/>
      <c r="E40" s="1477"/>
      <c r="F40" s="1477"/>
      <c r="G40" s="1477"/>
      <c r="H40" s="1478"/>
      <c r="I40" s="1790">
        <f>'1-ABA-DE-CARREGAMENTO'!M93</f>
        <v>1</v>
      </c>
      <c r="J40" s="1478"/>
      <c r="K40" s="1040"/>
    </row>
    <row r="41" spans="1:11" ht="11.25" customHeight="1">
      <c r="A41" s="1031"/>
      <c r="B41" s="1038">
        <v>15</v>
      </c>
      <c r="C41" s="1789" t="s">
        <v>1352</v>
      </c>
      <c r="D41" s="1477"/>
      <c r="E41" s="1477"/>
      <c r="F41" s="1477"/>
      <c r="G41" s="1477"/>
      <c r="H41" s="1478"/>
      <c r="I41" s="1714">
        <f>'1-ABA-DE-CARREGAMENTO'!E42</f>
        <v>1621</v>
      </c>
      <c r="J41" s="1478"/>
      <c r="K41" s="749"/>
    </row>
    <row r="42" spans="1:11" ht="11.25" customHeight="1">
      <c r="A42" s="1031"/>
      <c r="B42" s="1618"/>
      <c r="C42" s="1477"/>
      <c r="D42" s="1477"/>
      <c r="E42" s="1477"/>
      <c r="F42" s="1477"/>
      <c r="G42" s="1477"/>
      <c r="H42" s="1477"/>
      <c r="I42" s="1477"/>
      <c r="J42" s="1478"/>
      <c r="K42" s="459"/>
    </row>
    <row r="43" spans="1:11" ht="25.5" customHeight="1">
      <c r="A43" s="1031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</row>
    <row r="44" spans="1:11" ht="14.25" customHeight="1">
      <c r="A44" s="1031"/>
      <c r="B44" s="1728"/>
      <c r="C44" s="1477"/>
      <c r="D44" s="1477"/>
      <c r="E44" s="1477"/>
      <c r="F44" s="1477"/>
      <c r="G44" s="1477"/>
      <c r="H44" s="1477"/>
      <c r="I44" s="1477"/>
      <c r="J44" s="1478"/>
      <c r="K44" s="1041"/>
    </row>
    <row r="45" spans="1:11" ht="11.25" customHeight="1">
      <c r="A45" s="1031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</row>
    <row r="46" spans="1:11" ht="11.25" customHeight="1">
      <c r="A46" s="104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753" t="s">
        <v>355</v>
      </c>
      <c r="K46" s="727"/>
    </row>
    <row r="47" spans="1:11" ht="12.75" customHeight="1">
      <c r="A47" s="1031"/>
      <c r="B47" s="696" t="s">
        <v>312</v>
      </c>
      <c r="C47" s="1577" t="s">
        <v>1041</v>
      </c>
      <c r="D47" s="1477"/>
      <c r="E47" s="1477"/>
      <c r="F47" s="1478"/>
      <c r="G47" s="755" t="s">
        <v>52</v>
      </c>
      <c r="H47" s="756">
        <f>'1-ABA-DE-CARREGAMENTO'!M52</f>
        <v>220</v>
      </c>
      <c r="I47" s="755"/>
      <c r="J47" s="758">
        <f>I29*I40</f>
        <v>0</v>
      </c>
      <c r="K47" s="1043"/>
    </row>
    <row r="48" spans="1:11" ht="11.25" customHeight="1">
      <c r="A48" s="1031"/>
      <c r="B48" s="696" t="s">
        <v>314</v>
      </c>
      <c r="C48" s="1577" t="s">
        <v>1179</v>
      </c>
      <c r="D48" s="1477"/>
      <c r="E48" s="1477"/>
      <c r="F48" s="1654" t="str">
        <f>'1-ABA-DE-CARREGAMENTO'!M38</f>
        <v>SEM ADICIONAL DE FUNÇÃO</v>
      </c>
      <c r="G48" s="1477"/>
      <c r="H48" s="1478"/>
      <c r="I48" s="994">
        <f>'1-ABA-DE-CARREGAMENTO'!M39</f>
        <v>0</v>
      </c>
      <c r="J48" s="758">
        <f>J47*I48</f>
        <v>0</v>
      </c>
      <c r="K48" s="1043"/>
    </row>
    <row r="49" spans="1:11" ht="11.25" customHeight="1">
      <c r="A49" s="1031"/>
      <c r="B49" s="696" t="s">
        <v>316</v>
      </c>
      <c r="C49" s="1577" t="s">
        <v>1410</v>
      </c>
      <c r="D49" s="1477"/>
      <c r="E49" s="1477"/>
      <c r="F49" s="1477"/>
      <c r="G49" s="1477"/>
      <c r="H49" s="1478"/>
      <c r="I49" s="871">
        <f>'1-ABA-DE-CARREGAMENTO'!M44</f>
        <v>0</v>
      </c>
      <c r="J49" s="758">
        <f>ROUND(J47*I49,2)</f>
        <v>0</v>
      </c>
      <c r="K49" s="1043"/>
    </row>
    <row r="50" spans="1:11" ht="11.25" customHeight="1">
      <c r="A50" s="1031"/>
      <c r="B50" s="696" t="s">
        <v>318</v>
      </c>
      <c r="C50" s="1577" t="s">
        <v>1411</v>
      </c>
      <c r="D50" s="1477"/>
      <c r="E50" s="1477"/>
      <c r="F50" s="1477"/>
      <c r="G50" s="1654" t="str">
        <f>'1-ABA-DE-CARREGAMENTO'!M40</f>
        <v>SEM ADICIONAL DE RISCO</v>
      </c>
      <c r="H50" s="1478"/>
      <c r="I50" s="1073">
        <f>'1-ABA-DE-CARREGAMENTO'!M41</f>
        <v>0</v>
      </c>
      <c r="J50" s="758">
        <f>ROUND(I50*I41,2)</f>
        <v>0</v>
      </c>
      <c r="K50" s="1043"/>
    </row>
    <row r="51" spans="1:11" ht="39" customHeight="1">
      <c r="A51" s="1031"/>
      <c r="B51" s="696" t="s">
        <v>360</v>
      </c>
      <c r="C51" s="1577" t="s">
        <v>1412</v>
      </c>
      <c r="D51" s="1477"/>
      <c r="E51" s="1477"/>
      <c r="F51" s="1477"/>
      <c r="G51" s="1477"/>
      <c r="H51" s="1477"/>
      <c r="I51" s="1478"/>
      <c r="J51" s="758">
        <f>ROUND(2*8*15*I36,2)*0</f>
        <v>0</v>
      </c>
      <c r="K51" s="1043"/>
    </row>
    <row r="52" spans="1:11" ht="39" customHeight="1">
      <c r="A52" s="1031"/>
      <c r="B52" s="696" t="s">
        <v>364</v>
      </c>
      <c r="C52" s="1656" t="s">
        <v>1413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1043"/>
    </row>
    <row r="53" spans="1:11" ht="39" customHeight="1">
      <c r="A53" s="1031"/>
      <c r="B53" s="696" t="s">
        <v>366</v>
      </c>
      <c r="C53" s="1656" t="s">
        <v>1414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1043"/>
    </row>
    <row r="54" spans="1:11" ht="26.25" customHeight="1">
      <c r="A54" s="1031"/>
      <c r="B54" s="696" t="s">
        <v>368</v>
      </c>
      <c r="C54" s="1656" t="s">
        <v>1184</v>
      </c>
      <c r="D54" s="1477"/>
      <c r="E54" s="1477"/>
      <c r="F54" s="1754" t="s">
        <v>1415</v>
      </c>
      <c r="G54" s="1477"/>
      <c r="H54" s="1477"/>
      <c r="I54" s="1278">
        <f>'1-ABA-DE-CARREGAMENTO'!M65</f>
        <v>0</v>
      </c>
      <c r="J54" s="758">
        <f>ROUND((((SUM(J47:J50))/220)*1.5)*I54,2)</f>
        <v>0</v>
      </c>
      <c r="K54" s="1043"/>
    </row>
    <row r="55" spans="1:11" ht="26.25" customHeight="1">
      <c r="A55" s="1031"/>
      <c r="B55" s="696" t="s">
        <v>372</v>
      </c>
      <c r="C55" s="1656" t="s">
        <v>1186</v>
      </c>
      <c r="D55" s="1477"/>
      <c r="E55" s="1477"/>
      <c r="F55" s="1754" t="s">
        <v>1416</v>
      </c>
      <c r="G55" s="1477"/>
      <c r="H55" s="1477"/>
      <c r="I55" s="1278">
        <v>0</v>
      </c>
      <c r="J55" s="758">
        <f>ROUND((((SUM(J47:J50))/220)*2)*I55,2)</f>
        <v>0</v>
      </c>
      <c r="K55" s="1043"/>
    </row>
    <row r="56" spans="1:11" ht="39" customHeight="1">
      <c r="A56" s="1031"/>
      <c r="B56" s="696" t="s">
        <v>376</v>
      </c>
      <c r="C56" s="1577" t="s">
        <v>1417</v>
      </c>
      <c r="D56" s="1477"/>
      <c r="E56" s="1477"/>
      <c r="F56" s="1477"/>
      <c r="G56" s="1477"/>
      <c r="H56" s="1477"/>
      <c r="I56" s="1478"/>
      <c r="J56" s="758">
        <f>ROUND(((J54+J55)/25)*5,2)</f>
        <v>0</v>
      </c>
      <c r="K56" s="1043"/>
    </row>
    <row r="57" spans="1:11" ht="11.25" customHeight="1">
      <c r="A57" s="1031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1046"/>
    </row>
    <row r="58" spans="1:11" ht="11.25" customHeight="1">
      <c r="A58" s="1031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0</v>
      </c>
      <c r="K58" s="1047"/>
    </row>
    <row r="59" spans="1:11" ht="14.25" customHeight="1">
      <c r="A59" s="1031"/>
      <c r="B59" s="773"/>
      <c r="C59" s="1657"/>
      <c r="D59" s="1477"/>
      <c r="E59" s="1477"/>
      <c r="F59" s="1477"/>
      <c r="G59" s="1477"/>
      <c r="H59" s="1477"/>
      <c r="I59" s="1478"/>
      <c r="J59" s="774"/>
      <c r="K59" s="1047"/>
    </row>
    <row r="60" spans="1:11" ht="11.25" customHeight="1">
      <c r="A60" s="1031"/>
      <c r="B60" s="696" t="s">
        <v>368</v>
      </c>
      <c r="C60" s="1577" t="s">
        <v>1418</v>
      </c>
      <c r="D60" s="1477"/>
      <c r="E60" s="1477"/>
      <c r="F60" s="1477"/>
      <c r="G60" s="1477"/>
      <c r="H60" s="1477"/>
      <c r="I60" s="1478"/>
      <c r="J60" s="758">
        <f>ROUND(I34*15*I40*0.5,2)*0</f>
        <v>0</v>
      </c>
      <c r="K60" s="1043"/>
    </row>
    <row r="61" spans="1:11" ht="11.25" customHeight="1">
      <c r="A61" s="1031"/>
      <c r="B61" s="1572" t="s">
        <v>1419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1047"/>
    </row>
    <row r="62" spans="1:11" ht="11.25" customHeight="1">
      <c r="A62" s="1031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</row>
    <row r="63" spans="1:11" ht="11.25" customHeight="1">
      <c r="A63" s="1031"/>
      <c r="B63" s="1578" t="s">
        <v>1420</v>
      </c>
      <c r="C63" s="1477"/>
      <c r="D63" s="1477"/>
      <c r="E63" s="1477"/>
      <c r="F63" s="1477"/>
      <c r="G63" s="1477"/>
      <c r="H63" s="1477"/>
      <c r="I63" s="1478"/>
      <c r="J63" s="775">
        <f>J58+J61</f>
        <v>0</v>
      </c>
      <c r="K63" s="776"/>
    </row>
    <row r="64" spans="1:11" ht="11.25" customHeight="1">
      <c r="A64" s="1031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</row>
    <row r="65" spans="1:11" ht="11.25" customHeight="1">
      <c r="A65" s="1031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</row>
    <row r="66" spans="1:11" ht="11.25" customHeight="1">
      <c r="A66" s="1031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</row>
    <row r="67" spans="1:11" ht="11.25" customHeight="1">
      <c r="A67" s="1031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1048"/>
    </row>
    <row r="68" spans="1:11" ht="11.25" customHeight="1">
      <c r="A68" s="1031"/>
      <c r="B68" s="1580" t="s">
        <v>1421</v>
      </c>
      <c r="C68" s="1477"/>
      <c r="D68" s="1477"/>
      <c r="E68" s="1477"/>
      <c r="F68" s="1477"/>
      <c r="G68" s="1477"/>
      <c r="H68" s="1477"/>
      <c r="I68" s="1477"/>
      <c r="J68" s="1478"/>
      <c r="K68" s="931"/>
    </row>
    <row r="69" spans="1:11" ht="15" customHeight="1">
      <c r="A69" s="1031"/>
      <c r="B69" s="781" t="s">
        <v>388</v>
      </c>
      <c r="C69" s="1659" t="s">
        <v>1422</v>
      </c>
      <c r="D69" s="1477"/>
      <c r="E69" s="1477"/>
      <c r="F69" s="1477"/>
      <c r="G69" s="1477"/>
      <c r="H69" s="1477"/>
      <c r="I69" s="1478"/>
      <c r="J69" s="782" t="s">
        <v>390</v>
      </c>
      <c r="K69" s="783"/>
    </row>
    <row r="70" spans="1:11" ht="11.25" customHeight="1">
      <c r="A70" s="1031"/>
      <c r="B70" s="781" t="s">
        <v>312</v>
      </c>
      <c r="C70" s="1656" t="s">
        <v>1423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0</v>
      </c>
      <c r="K70" s="786"/>
    </row>
    <row r="71" spans="1:11" ht="14.25" customHeight="1">
      <c r="A71" s="1031"/>
      <c r="B71" s="781" t="s">
        <v>314</v>
      </c>
      <c r="C71" s="1582" t="s">
        <v>1424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0</v>
      </c>
      <c r="K71" s="786"/>
    </row>
    <row r="72" spans="1:11" ht="11.25" customHeight="1">
      <c r="A72" s="1031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0</v>
      </c>
      <c r="K72" s="1049"/>
    </row>
    <row r="73" spans="1:11" ht="14.25" customHeight="1">
      <c r="A73" s="1031"/>
      <c r="B73" s="1661"/>
      <c r="C73" s="1477"/>
      <c r="D73" s="1477"/>
      <c r="E73" s="1477"/>
      <c r="F73" s="1477"/>
      <c r="G73" s="1477"/>
      <c r="H73" s="1477"/>
      <c r="I73" s="1477"/>
      <c r="J73" s="1478"/>
      <c r="K73" s="1050"/>
    </row>
    <row r="74" spans="1:11" ht="11.25" customHeight="1">
      <c r="A74" s="1031"/>
      <c r="B74" s="1653" t="s">
        <v>1425</v>
      </c>
      <c r="C74" s="1477"/>
      <c r="D74" s="1477"/>
      <c r="E74" s="1477"/>
      <c r="F74" s="1477"/>
      <c r="G74" s="1477"/>
      <c r="H74" s="1477"/>
      <c r="I74" s="1477"/>
      <c r="J74" s="1478"/>
      <c r="K74" s="750"/>
    </row>
    <row r="75" spans="1:11" ht="14.25" customHeight="1">
      <c r="A75" s="1031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</row>
    <row r="76" spans="1:11" ht="14.25" customHeight="1">
      <c r="A76" s="1031"/>
      <c r="B76" s="1663" t="s">
        <v>1426</v>
      </c>
      <c r="C76" s="1477"/>
      <c r="D76" s="1477"/>
      <c r="E76" s="1477"/>
      <c r="F76" s="1477"/>
      <c r="G76" s="1477"/>
      <c r="H76" s="1477"/>
      <c r="I76" s="1477"/>
      <c r="J76" s="1478"/>
      <c r="K76" s="780"/>
    </row>
    <row r="77" spans="1:11" ht="11.25" customHeight="1">
      <c r="A77" s="1031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</row>
    <row r="78" spans="1:11" ht="11.25" customHeight="1">
      <c r="A78" s="1031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0</v>
      </c>
      <c r="K78" s="1049"/>
    </row>
    <row r="79" spans="1:11" ht="11.25" customHeight="1">
      <c r="A79" s="1031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0</v>
      </c>
      <c r="K79" s="1049"/>
    </row>
    <row r="80" spans="1:11" ht="11.25" customHeight="1">
      <c r="A80" s="1031"/>
      <c r="B80" s="794" t="s">
        <v>316</v>
      </c>
      <c r="C80" s="1577" t="s">
        <v>1427</v>
      </c>
      <c r="D80" s="1478"/>
      <c r="E80" s="1051" t="s">
        <v>402</v>
      </c>
      <c r="F80" s="1052">
        <f>'1-ABA-DE-CARREGAMENTO'!M57</f>
        <v>0</v>
      </c>
      <c r="G80" s="1051" t="s">
        <v>403</v>
      </c>
      <c r="H80" s="1053">
        <f>'1-ABA-DE-CARREGAMENTO'!M58</f>
        <v>1</v>
      </c>
      <c r="I80" s="799">
        <f>ROUND((F80*H80),6)</f>
        <v>0</v>
      </c>
      <c r="J80" s="796">
        <f>ROUND((J58+J72)*I80,2)</f>
        <v>0</v>
      </c>
      <c r="K80" s="1049"/>
    </row>
    <row r="81" spans="1:11" ht="16.5" customHeight="1">
      <c r="A81" s="1031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0</v>
      </c>
      <c r="K81" s="1049"/>
    </row>
    <row r="82" spans="1:11" ht="16.5" customHeight="1">
      <c r="A82" s="1031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0</v>
      </c>
      <c r="K82" s="1049"/>
    </row>
    <row r="83" spans="1:11" ht="16.5" customHeight="1">
      <c r="A83" s="1031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0</v>
      </c>
      <c r="K83" s="1049"/>
    </row>
    <row r="84" spans="1:11" ht="16.5" customHeight="1">
      <c r="A84" s="1031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0</v>
      </c>
      <c r="K84" s="1049"/>
    </row>
    <row r="85" spans="1:11" ht="28.5" customHeight="1">
      <c r="A85" s="1031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0</v>
      </c>
      <c r="K85" s="1049"/>
    </row>
    <row r="86" spans="1:11" ht="12" customHeight="1">
      <c r="A86" s="1031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0">SUM(I78:I85)</f>
        <v>0.33800000000000002</v>
      </c>
      <c r="J86" s="788">
        <f t="shared" si="0"/>
        <v>0</v>
      </c>
      <c r="K86" s="1049"/>
    </row>
    <row r="87" spans="1:11" ht="12" customHeight="1">
      <c r="A87" s="1031"/>
      <c r="B87" s="801"/>
      <c r="C87" s="802"/>
      <c r="D87" s="802"/>
      <c r="E87" s="802"/>
      <c r="F87" s="802"/>
      <c r="G87" s="802"/>
      <c r="H87" s="802"/>
      <c r="I87" s="803"/>
      <c r="J87" s="804"/>
      <c r="K87" s="1049"/>
    </row>
    <row r="88" spans="1:11" ht="39" customHeight="1">
      <c r="A88" s="1031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</row>
    <row r="89" spans="1:11" ht="18.75" customHeight="1">
      <c r="A89" s="1031"/>
      <c r="B89" s="1618"/>
      <c r="C89" s="1477"/>
      <c r="D89" s="1477"/>
      <c r="E89" s="1477"/>
      <c r="F89" s="1477"/>
      <c r="G89" s="1477"/>
      <c r="H89" s="1477"/>
      <c r="I89" s="1477"/>
      <c r="J89" s="1478"/>
      <c r="K89" s="459"/>
    </row>
    <row r="90" spans="1:11" ht="15" customHeight="1">
      <c r="A90" s="1031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931"/>
    </row>
    <row r="91" spans="1:11" ht="15" customHeight="1">
      <c r="A91" s="1031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</row>
    <row r="92" spans="1:11" ht="15" customHeight="1">
      <c r="A92" s="1031"/>
      <c r="B92" s="743" t="s">
        <v>312</v>
      </c>
      <c r="C92" s="1577" t="s">
        <v>1428</v>
      </c>
      <c r="D92" s="1477"/>
      <c r="E92" s="1477"/>
      <c r="F92" s="1477"/>
      <c r="G92" s="1477"/>
      <c r="H92" s="1478"/>
      <c r="I92" s="807">
        <f>J47</f>
        <v>0</v>
      </c>
      <c r="J92" s="808">
        <f>IF(ROUND((I93*I95*I94)-(J47*I96),2)&lt;0,0,ROUND((I93*I95*I94)-(J47*I96),2))</f>
        <v>0</v>
      </c>
      <c r="K92" s="1049"/>
    </row>
    <row r="93" spans="1:11" ht="28.5" customHeight="1">
      <c r="A93" s="1031"/>
      <c r="B93" s="743" t="s">
        <v>314</v>
      </c>
      <c r="C93" s="1577" t="s">
        <v>1429</v>
      </c>
      <c r="D93" s="1477"/>
      <c r="E93" s="1477"/>
      <c r="F93" s="1477"/>
      <c r="G93" s="1477"/>
      <c r="H93" s="1477"/>
      <c r="I93" s="809">
        <f>'1-ABA-DE-CARREGAMENTO'!M72</f>
        <v>6.82</v>
      </c>
      <c r="J93" s="810" t="s">
        <v>325</v>
      </c>
      <c r="K93" s="1046"/>
    </row>
    <row r="94" spans="1:11" ht="17.25" customHeight="1">
      <c r="A94" s="1031"/>
      <c r="B94" s="743" t="s">
        <v>316</v>
      </c>
      <c r="C94" s="1577" t="s">
        <v>1430</v>
      </c>
      <c r="D94" s="1477"/>
      <c r="E94" s="1477"/>
      <c r="F94" s="1477"/>
      <c r="G94" s="1477"/>
      <c r="H94" s="1478"/>
      <c r="I94" s="811">
        <f>'1-ABA-DE-CARREGAMENTO'!M73</f>
        <v>2</v>
      </c>
      <c r="J94" s="810" t="s">
        <v>325</v>
      </c>
      <c r="K94" s="1046"/>
    </row>
    <row r="95" spans="1:11" ht="19.5" customHeight="1">
      <c r="A95" s="1031"/>
      <c r="B95" s="743" t="s">
        <v>318</v>
      </c>
      <c r="C95" s="1560" t="s">
        <v>415</v>
      </c>
      <c r="D95" s="1477"/>
      <c r="E95" s="1477"/>
      <c r="F95" s="1477"/>
      <c r="G95" s="1477"/>
      <c r="H95" s="1478"/>
      <c r="I95" s="811">
        <f>'1-ABA-DE-CARREGAMENTO'!M74</f>
        <v>0</v>
      </c>
      <c r="J95" s="810" t="s">
        <v>325</v>
      </c>
      <c r="K95" s="1046"/>
    </row>
    <row r="96" spans="1:11" ht="27" customHeight="1">
      <c r="A96" s="1031"/>
      <c r="B96" s="743" t="s">
        <v>360</v>
      </c>
      <c r="C96" s="1560" t="s">
        <v>1431</v>
      </c>
      <c r="D96" s="1477"/>
      <c r="E96" s="1477"/>
      <c r="F96" s="1477"/>
      <c r="G96" s="1477"/>
      <c r="H96" s="1478"/>
      <c r="I96" s="1412">
        <v>0</v>
      </c>
      <c r="J96" s="815" t="s">
        <v>325</v>
      </c>
      <c r="K96" s="1046"/>
    </row>
    <row r="97" spans="1:11" ht="15" customHeight="1">
      <c r="A97" s="1031"/>
      <c r="B97" s="743" t="s">
        <v>364</v>
      </c>
      <c r="C97" s="1577" t="s">
        <v>1432</v>
      </c>
      <c r="D97" s="1477"/>
      <c r="E97" s="1477"/>
      <c r="F97" s="1477"/>
      <c r="G97" s="1477"/>
      <c r="H97" s="1477"/>
      <c r="I97" s="1477"/>
      <c r="J97" s="808">
        <f>ROUND(I98*I99,2)-ROUND((I98*I99)*I100,2)</f>
        <v>0</v>
      </c>
      <c r="K97" s="1049"/>
    </row>
    <row r="98" spans="1:11" ht="15" customHeight="1">
      <c r="A98" s="1031"/>
      <c r="B98" s="743" t="s">
        <v>366</v>
      </c>
      <c r="C98" s="1577" t="s">
        <v>1433</v>
      </c>
      <c r="D98" s="1477"/>
      <c r="E98" s="1477"/>
      <c r="F98" s="1477"/>
      <c r="G98" s="1477"/>
      <c r="H98" s="1477"/>
      <c r="I98" s="809">
        <v>0</v>
      </c>
      <c r="J98" s="817"/>
      <c r="K98" s="1046"/>
    </row>
    <row r="99" spans="1:11" ht="15" customHeight="1">
      <c r="A99" s="1031"/>
      <c r="B99" s="743" t="s">
        <v>368</v>
      </c>
      <c r="C99" s="1577" t="s">
        <v>1434</v>
      </c>
      <c r="D99" s="1477"/>
      <c r="E99" s="1477"/>
      <c r="F99" s="1477"/>
      <c r="G99" s="1477"/>
      <c r="H99" s="1477"/>
      <c r="I99" s="811">
        <f>'1-ABA-DE-CARREGAMENTO'!M62</f>
        <v>20.5</v>
      </c>
      <c r="J99" s="817"/>
      <c r="K99" s="1046"/>
    </row>
    <row r="100" spans="1:11" ht="24" customHeight="1">
      <c r="A100" s="1031"/>
      <c r="B100" s="743" t="s">
        <v>372</v>
      </c>
      <c r="C100" s="1665" t="s">
        <v>1435</v>
      </c>
      <c r="D100" s="1477"/>
      <c r="E100" s="1477"/>
      <c r="F100" s="1477"/>
      <c r="G100" s="1477"/>
      <c r="H100" s="1478"/>
      <c r="I100" s="1412">
        <f>'1-ABA-DE-CARREGAMENTO'!M61</f>
        <v>31.69</v>
      </c>
      <c r="J100" s="1087"/>
      <c r="K100" s="1046"/>
    </row>
    <row r="101" spans="1:11" ht="15" customHeight="1">
      <c r="A101" s="1031"/>
      <c r="B101" s="743" t="s">
        <v>376</v>
      </c>
      <c r="C101" s="1577" t="s">
        <v>1207</v>
      </c>
      <c r="D101" s="1477"/>
      <c r="E101" s="1477"/>
      <c r="F101" s="1477"/>
      <c r="G101" s="1477"/>
      <c r="H101" s="1477"/>
      <c r="I101" s="1477"/>
      <c r="J101" s="796">
        <v>0</v>
      </c>
      <c r="K101" s="1049"/>
    </row>
    <row r="102" spans="1:11" ht="36.75" customHeight="1">
      <c r="A102" s="1031"/>
      <c r="B102" s="743" t="s">
        <v>379</v>
      </c>
      <c r="C102" s="1577" t="s">
        <v>1436</v>
      </c>
      <c r="D102" s="1477"/>
      <c r="E102" s="1477"/>
      <c r="F102" s="1477"/>
      <c r="G102" s="1477"/>
      <c r="H102" s="1477"/>
      <c r="I102" s="1477"/>
      <c r="J102" s="796">
        <v>0</v>
      </c>
      <c r="K102" s="1049"/>
    </row>
    <row r="103" spans="1:11" ht="36.75" customHeight="1">
      <c r="A103" s="1031"/>
      <c r="B103" s="743" t="s">
        <v>423</v>
      </c>
      <c r="C103" s="1577" t="s">
        <v>1437</v>
      </c>
      <c r="D103" s="1477"/>
      <c r="E103" s="1477"/>
      <c r="F103" s="1477"/>
      <c r="G103" s="1477"/>
      <c r="H103" s="1477"/>
      <c r="I103" s="1478"/>
      <c r="J103" s="796">
        <v>0</v>
      </c>
      <c r="K103" s="1049"/>
    </row>
    <row r="104" spans="1:11" ht="16.5" customHeight="1">
      <c r="A104" s="1031"/>
      <c r="B104" s="743" t="s">
        <v>425</v>
      </c>
      <c r="C104" s="1577" t="s">
        <v>1071</v>
      </c>
      <c r="D104" s="1477"/>
      <c r="E104" s="1477"/>
      <c r="F104" s="1477"/>
      <c r="G104" s="1477"/>
      <c r="H104" s="1477"/>
      <c r="I104" s="1478"/>
      <c r="J104" s="796">
        <v>0</v>
      </c>
      <c r="K104" s="1049"/>
    </row>
    <row r="105" spans="1:11" ht="17.25" customHeight="1">
      <c r="A105" s="1031"/>
      <c r="B105" s="743" t="s">
        <v>53</v>
      </c>
      <c r="C105" s="1589" t="s">
        <v>468</v>
      </c>
      <c r="D105" s="1477"/>
      <c r="E105" s="1477"/>
      <c r="F105" s="1477"/>
      <c r="G105" s="1477"/>
      <c r="H105" s="1477"/>
      <c r="I105" s="1477"/>
      <c r="J105" s="881">
        <v>0</v>
      </c>
      <c r="K105" s="789"/>
    </row>
    <row r="106" spans="1:11" ht="33.75" customHeight="1">
      <c r="A106" s="1031"/>
      <c r="B106" s="823"/>
      <c r="C106" s="1585" t="s">
        <v>393</v>
      </c>
      <c r="D106" s="1477"/>
      <c r="E106" s="1477"/>
      <c r="F106" s="1477"/>
      <c r="G106" s="1477"/>
      <c r="H106" s="1477"/>
      <c r="I106" s="1521"/>
      <c r="J106" s="788">
        <f>SUM(J92:J105)</f>
        <v>0</v>
      </c>
      <c r="K106" s="1049"/>
    </row>
    <row r="107" spans="1:11" ht="17.25" customHeight="1">
      <c r="A107" s="1031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459"/>
    </row>
    <row r="108" spans="1:11" ht="34.5" customHeight="1">
      <c r="A108" s="1031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</row>
    <row r="109" spans="1:11" ht="19.5" customHeight="1">
      <c r="A109" s="1031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</row>
    <row r="110" spans="1:11" ht="19.5" customHeight="1">
      <c r="A110" s="1031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</row>
    <row r="111" spans="1:11" ht="19.5" customHeight="1">
      <c r="A111" s="1031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793" t="s">
        <v>390</v>
      </c>
      <c r="K111" s="783"/>
    </row>
    <row r="112" spans="1:11" ht="19.5" customHeight="1">
      <c r="A112" s="1031"/>
      <c r="B112" s="733" t="s">
        <v>388</v>
      </c>
      <c r="C112" s="1656" t="s">
        <v>1438</v>
      </c>
      <c r="D112" s="1477"/>
      <c r="E112" s="1477"/>
      <c r="F112" s="1477"/>
      <c r="G112" s="1477"/>
      <c r="H112" s="1477"/>
      <c r="I112" s="1478"/>
      <c r="J112" s="824">
        <f>J72</f>
        <v>0</v>
      </c>
      <c r="K112" s="825"/>
    </row>
    <row r="113" spans="1:11" ht="19.5" customHeight="1">
      <c r="A113" s="1031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0</v>
      </c>
      <c r="K113" s="825"/>
    </row>
    <row r="114" spans="1:11" ht="19.5" customHeight="1">
      <c r="A114" s="1031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0</v>
      </c>
      <c r="K114" s="825"/>
    </row>
    <row r="115" spans="1:11" ht="14.25" customHeight="1">
      <c r="A115" s="1031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0</v>
      </c>
      <c r="K115" s="825"/>
    </row>
    <row r="116" spans="1:11" ht="14.25" customHeight="1">
      <c r="A116" s="1031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</row>
    <row r="117" spans="1:11" ht="18.75" customHeight="1">
      <c r="A117" s="1031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1054"/>
    </row>
    <row r="118" spans="1:11" ht="15.75" customHeight="1">
      <c r="A118" s="1031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805" t="s">
        <v>390</v>
      </c>
      <c r="K118" s="1055"/>
    </row>
    <row r="119" spans="1:11" ht="42.75" customHeight="1">
      <c r="A119" s="1031"/>
      <c r="B119" s="743" t="s">
        <v>312</v>
      </c>
      <c r="C119" s="1577" t="s">
        <v>1439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0</v>
      </c>
      <c r="K119" s="1049"/>
    </row>
    <row r="120" spans="1:11" ht="15.75" customHeight="1">
      <c r="A120" s="1031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0</v>
      </c>
      <c r="K120" s="1049"/>
    </row>
    <row r="121" spans="1:11" ht="30" customHeight="1">
      <c r="A121" s="1031"/>
      <c r="B121" s="743" t="s">
        <v>316</v>
      </c>
      <c r="C121" s="1577" t="s">
        <v>1440</v>
      </c>
      <c r="D121" s="1477"/>
      <c r="E121" s="1477"/>
      <c r="F121" s="1477"/>
      <c r="G121" s="1477"/>
      <c r="H121" s="1477"/>
      <c r="I121" s="1478"/>
      <c r="J121" s="796">
        <f>ROUND(((7/30)/$I$11)*$J$58*1,2)</f>
        <v>0</v>
      </c>
      <c r="K121" s="1049"/>
    </row>
    <row r="122" spans="1:11" ht="24" customHeight="1">
      <c r="A122" s="1031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0</v>
      </c>
      <c r="K122" s="1049"/>
    </row>
    <row r="123" spans="1:11" ht="36" customHeight="1">
      <c r="A123" s="1031"/>
      <c r="B123" s="743" t="s">
        <v>360</v>
      </c>
      <c r="C123" s="1577" t="s">
        <v>1441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0</v>
      </c>
      <c r="K123" s="1049"/>
    </row>
    <row r="124" spans="1:11" ht="19.5" customHeight="1">
      <c r="A124" s="1031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0</v>
      </c>
      <c r="K124" s="1049"/>
    </row>
    <row r="125" spans="1:11" ht="15.75" customHeight="1">
      <c r="A125" s="1031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1056"/>
    </row>
    <row r="126" spans="1:11" ht="17.25" customHeight="1">
      <c r="A126" s="1031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</row>
    <row r="127" spans="1:11" ht="27" customHeight="1">
      <c r="A127" s="1031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</row>
    <row r="128" spans="1:11" ht="54" customHeight="1">
      <c r="A128" s="1031"/>
      <c r="B128" s="1663" t="s">
        <v>1442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</row>
    <row r="129" spans="1:11" ht="33.75" customHeight="1">
      <c r="A129" s="1031"/>
      <c r="B129" s="832" t="s">
        <v>445</v>
      </c>
      <c r="C129" s="833">
        <f>J58</f>
        <v>0</v>
      </c>
      <c r="D129" s="834" t="s">
        <v>446</v>
      </c>
      <c r="E129" s="832" t="s">
        <v>1443</v>
      </c>
      <c r="F129" s="833">
        <f>J115-J92-J97</f>
        <v>0</v>
      </c>
      <c r="G129" s="834" t="s">
        <v>446</v>
      </c>
      <c r="H129" s="832" t="s">
        <v>448</v>
      </c>
      <c r="I129" s="833">
        <f>J124</f>
        <v>0</v>
      </c>
      <c r="J129" s="835">
        <f>C129+F129+I129</f>
        <v>0</v>
      </c>
      <c r="K129" s="836"/>
    </row>
    <row r="130" spans="1:11" ht="13.5" customHeight="1">
      <c r="A130" s="1031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</row>
    <row r="131" spans="1:11" ht="15.75" customHeight="1">
      <c r="A131" s="1031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</row>
    <row r="132" spans="1:11" ht="17.25" customHeight="1">
      <c r="A132" s="1031"/>
      <c r="B132" s="1057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57" t="s">
        <v>390</v>
      </c>
      <c r="K132" s="1058"/>
    </row>
    <row r="133" spans="1:11" ht="46.5" customHeight="1">
      <c r="A133" s="1031"/>
      <c r="B133" s="743" t="s">
        <v>312</v>
      </c>
      <c r="C133" s="1656" t="s">
        <v>1444</v>
      </c>
      <c r="D133" s="1477"/>
      <c r="E133" s="1477"/>
      <c r="F133" s="1477"/>
      <c r="G133" s="1477"/>
      <c r="H133" s="840">
        <v>9.0749999999999997E-2</v>
      </c>
      <c r="I133" s="1004">
        <f>I86</f>
        <v>0.33800000000000002</v>
      </c>
      <c r="J133" s="796">
        <f>ROUND(H133*J58,2)*(1+I133)</f>
        <v>0</v>
      </c>
      <c r="K133" s="1049"/>
    </row>
    <row r="134" spans="1:11" ht="17.25" customHeight="1">
      <c r="A134" s="1031"/>
      <c r="B134" s="743" t="s">
        <v>314</v>
      </c>
      <c r="C134" s="1577" t="s">
        <v>1445</v>
      </c>
      <c r="D134" s="1477"/>
      <c r="E134" s="1477"/>
      <c r="F134" s="1477"/>
      <c r="G134" s="1477"/>
      <c r="H134" s="1477"/>
      <c r="I134" s="1478"/>
      <c r="J134" s="796">
        <f>ROUND((1/30)/12*(J129),2)</f>
        <v>0</v>
      </c>
      <c r="K134" s="1049"/>
    </row>
    <row r="135" spans="1:11" ht="31.5" customHeight="1">
      <c r="A135" s="1031"/>
      <c r="B135" s="743" t="s">
        <v>316</v>
      </c>
      <c r="C135" s="1577" t="s">
        <v>1446</v>
      </c>
      <c r="D135" s="1477"/>
      <c r="E135" s="1477"/>
      <c r="F135" s="1477"/>
      <c r="G135" s="1477"/>
      <c r="H135" s="1477"/>
      <c r="I135" s="1478"/>
      <c r="J135" s="796">
        <f>ROUND((5/30)/12*0.015*(J129),2)</f>
        <v>0</v>
      </c>
      <c r="K135" s="1049"/>
    </row>
    <row r="136" spans="1:11" ht="24.75" customHeight="1">
      <c r="A136" s="1031"/>
      <c r="B136" s="743" t="s">
        <v>318</v>
      </c>
      <c r="C136" s="1577" t="s">
        <v>1447</v>
      </c>
      <c r="D136" s="1477"/>
      <c r="E136" s="1477"/>
      <c r="F136" s="1477"/>
      <c r="G136" s="1477"/>
      <c r="H136" s="1477"/>
      <c r="I136" s="1478"/>
      <c r="J136" s="796">
        <f>ROUND(((15/30)/12)*0.0078*(J129),2)</f>
        <v>0</v>
      </c>
      <c r="K136" s="1049"/>
    </row>
    <row r="137" spans="1:11" ht="31.5" customHeight="1">
      <c r="A137" s="1031"/>
      <c r="B137" s="843" t="s">
        <v>360</v>
      </c>
      <c r="C137" s="1676" t="s">
        <v>1448</v>
      </c>
      <c r="D137" s="1477"/>
      <c r="E137" s="1477"/>
      <c r="F137" s="1477"/>
      <c r="G137" s="1477"/>
      <c r="H137" s="1477"/>
      <c r="I137" s="1478"/>
      <c r="J137" s="1280">
        <f>ROUND(((((C129+C129/3)+(I86)*(C129+C129/3))*(4/12))/12)*0.02,2) + ((J106 -J92-J97+ J124)*4/12)*0.02</f>
        <v>0</v>
      </c>
      <c r="K137" s="1059"/>
    </row>
    <row r="138" spans="1:11" ht="36" customHeight="1">
      <c r="A138" s="1031"/>
      <c r="B138" s="743" t="s">
        <v>364</v>
      </c>
      <c r="C138" s="1577" t="s">
        <v>1449</v>
      </c>
      <c r="D138" s="1477"/>
      <c r="E138" s="1477"/>
      <c r="F138" s="1477"/>
      <c r="G138" s="1477"/>
      <c r="H138" s="1477"/>
      <c r="I138" s="1478"/>
      <c r="J138" s="796">
        <f>ROUND(((3/30)/12)*(J129),2)</f>
        <v>0</v>
      </c>
      <c r="K138" s="1049"/>
    </row>
    <row r="139" spans="1:11" ht="19.5" customHeight="1">
      <c r="A139" s="1031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0</v>
      </c>
      <c r="K139" s="1049"/>
    </row>
    <row r="140" spans="1:11" ht="9" customHeight="1">
      <c r="A140" s="1031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1056"/>
    </row>
    <row r="141" spans="1:11" ht="19.5" customHeight="1">
      <c r="A141" s="1031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931"/>
    </row>
    <row r="142" spans="1:11" ht="19.5" customHeight="1">
      <c r="A142" s="1031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1060"/>
    </row>
    <row r="143" spans="1:11" ht="19.5" customHeight="1">
      <c r="A143" s="1031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1061"/>
    </row>
    <row r="144" spans="1:11" ht="19.5" customHeight="1">
      <c r="A144" s="1031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1061"/>
    </row>
    <row r="145" spans="1:11" ht="7.5" customHeight="1">
      <c r="A145" s="1031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1062"/>
    </row>
    <row r="146" spans="1:11" ht="19.5" customHeight="1">
      <c r="A146" s="1031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1048"/>
    </row>
    <row r="147" spans="1:11" ht="19.5" customHeight="1">
      <c r="A147" s="1031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1060"/>
    </row>
    <row r="148" spans="1:11" ht="17.25" customHeight="1">
      <c r="A148" s="1031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0</v>
      </c>
      <c r="K148" s="1061"/>
    </row>
    <row r="149" spans="1:11" ht="17.25" customHeight="1">
      <c r="A149" s="1031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1061"/>
    </row>
    <row r="150" spans="1:11" ht="24" customHeight="1">
      <c r="A150" s="1031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0</v>
      </c>
      <c r="K150" s="1061"/>
    </row>
    <row r="151" spans="1:11" ht="9" customHeight="1">
      <c r="A151" s="1031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1062"/>
    </row>
    <row r="152" spans="1:11" ht="15.75" customHeight="1">
      <c r="A152" s="1031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</row>
    <row r="153" spans="1:11" ht="15.75" customHeight="1">
      <c r="A153" s="1031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805" t="s">
        <v>390</v>
      </c>
      <c r="K153" s="1055"/>
    </row>
    <row r="154" spans="1:11" ht="19.5" customHeight="1">
      <c r="A154" s="1031"/>
      <c r="B154" s="743" t="s">
        <v>312</v>
      </c>
      <c r="C154" s="1577" t="s">
        <v>296</v>
      </c>
      <c r="D154" s="1477"/>
      <c r="E154" s="1477"/>
      <c r="F154" s="1477"/>
      <c r="G154" s="1477"/>
      <c r="H154" s="1477"/>
      <c r="I154" s="1478"/>
      <c r="J154" s="796">
        <v>0</v>
      </c>
      <c r="K154" s="1049"/>
    </row>
    <row r="155" spans="1:11" ht="15.75" customHeight="1">
      <c r="A155" s="1031"/>
      <c r="B155" s="743" t="s">
        <v>314</v>
      </c>
      <c r="C155" s="1577" t="s">
        <v>639</v>
      </c>
      <c r="D155" s="1477"/>
      <c r="E155" s="1477"/>
      <c r="F155" s="1477"/>
      <c r="G155" s="1477"/>
      <c r="H155" s="1477"/>
      <c r="I155" s="1478"/>
      <c r="J155" s="881">
        <v>0</v>
      </c>
      <c r="K155" s="789"/>
    </row>
    <row r="156" spans="1:11" ht="15.75" customHeight="1">
      <c r="A156" s="1031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81" t="s">
        <v>640</v>
      </c>
      <c r="K156" s="789"/>
    </row>
    <row r="157" spans="1:11" ht="19.5" customHeight="1">
      <c r="A157" s="1031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0</v>
      </c>
      <c r="K157" s="789"/>
    </row>
    <row r="158" spans="1:11" ht="9" customHeight="1">
      <c r="A158" s="1031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1063"/>
    </row>
    <row r="159" spans="1:11" ht="18.75" customHeight="1">
      <c r="A159" s="1031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52"/>
    </row>
    <row r="160" spans="1:11" ht="7.5" customHeight="1">
      <c r="A160" s="1031"/>
      <c r="B160" s="859"/>
      <c r="C160" s="860"/>
      <c r="D160" s="860"/>
      <c r="E160" s="860"/>
      <c r="F160" s="860"/>
      <c r="G160" s="860"/>
      <c r="H160" s="860"/>
      <c r="I160" s="860"/>
      <c r="J160" s="861"/>
      <c r="K160" s="315"/>
    </row>
    <row r="161" spans="1:11" ht="24" customHeight="1">
      <c r="A161" s="1031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1054"/>
    </row>
    <row r="162" spans="1:11" ht="24.75" customHeight="1">
      <c r="A162" s="1031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</row>
    <row r="163" spans="1:11" ht="57" customHeight="1">
      <c r="A163" s="1031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866">
        <f>SUM(J63+J115+J124+J150+J157)</f>
        <v>0</v>
      </c>
      <c r="K163" s="1064"/>
    </row>
    <row r="164" spans="1:11" ht="22.5" customHeight="1">
      <c r="A164" s="1031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'1-ABA-DE-CARREGAMENTO'!M85</f>
        <v>0.06</v>
      </c>
      <c r="J164" s="796">
        <f>ROUND(I164*J163,2)</f>
        <v>0</v>
      </c>
      <c r="K164" s="1049"/>
    </row>
    <row r="165" spans="1:11" ht="56.25" customHeight="1">
      <c r="A165" s="1031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866">
        <f>SUM(J63+J115+J124+J150+J157+J164)</f>
        <v>0</v>
      </c>
      <c r="K165" s="1064"/>
    </row>
    <row r="166" spans="1:11" ht="19.5" customHeight="1">
      <c r="A166" s="1031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'1-ABA-DE-CARREGAMENTO'!M86</f>
        <v>0.06</v>
      </c>
      <c r="J166" s="796">
        <f>ROUND(I166*J165,2)</f>
        <v>0</v>
      </c>
      <c r="K166" s="1049"/>
    </row>
    <row r="167" spans="1:11" ht="52.5" customHeight="1">
      <c r="A167" s="1031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866">
        <f>SUM(J163+J164+J166)</f>
        <v>0</v>
      </c>
      <c r="K167" s="1064"/>
    </row>
    <row r="168" spans="1:11" ht="18.75" customHeight="1">
      <c r="A168" s="1031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769" t="s">
        <v>325</v>
      </c>
      <c r="K168" s="1046"/>
    </row>
    <row r="169" spans="1:11" ht="14.25" customHeight="1">
      <c r="A169" s="1031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769" t="s">
        <v>325</v>
      </c>
      <c r="K169" s="1046"/>
    </row>
    <row r="170" spans="1:11" ht="24" customHeight="1">
      <c r="A170" s="1031"/>
      <c r="B170" s="743"/>
      <c r="C170" s="1590" t="s">
        <v>1450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281">
        <f t="shared" ref="J170:J171" si="1">ROUND(($J$167/(1-$I$179))*I170,2)</f>
        <v>0</v>
      </c>
      <c r="K170" s="1065"/>
    </row>
    <row r="171" spans="1:11" ht="24" customHeight="1">
      <c r="A171" s="1031"/>
      <c r="B171" s="743"/>
      <c r="C171" s="1590" t="s">
        <v>1451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281">
        <f t="shared" si="1"/>
        <v>0</v>
      </c>
      <c r="K171" s="1065"/>
    </row>
    <row r="172" spans="1:11" ht="24" customHeight="1">
      <c r="A172" s="1031"/>
      <c r="B172" s="743"/>
      <c r="C172" s="1577" t="s">
        <v>1452</v>
      </c>
      <c r="D172" s="1477"/>
      <c r="E172" s="1477"/>
      <c r="F172" s="1477"/>
      <c r="G172" s="1477"/>
      <c r="H172" s="1478"/>
      <c r="I172" s="872" t="s">
        <v>325</v>
      </c>
      <c r="J172" s="769" t="s">
        <v>325</v>
      </c>
      <c r="K172" s="1046"/>
    </row>
    <row r="173" spans="1:11" ht="24" customHeight="1">
      <c r="A173" s="1031"/>
      <c r="B173" s="743"/>
      <c r="C173" s="1577" t="s">
        <v>1453</v>
      </c>
      <c r="D173" s="1477"/>
      <c r="E173" s="1477"/>
      <c r="F173" s="1477"/>
      <c r="G173" s="1477"/>
      <c r="H173" s="1478"/>
      <c r="I173" s="872" t="s">
        <v>325</v>
      </c>
      <c r="J173" s="769" t="s">
        <v>325</v>
      </c>
      <c r="K173" s="1046"/>
    </row>
    <row r="174" spans="1:11" ht="15.75" customHeight="1">
      <c r="A174" s="1031"/>
      <c r="B174" s="743"/>
      <c r="C174" s="1577" t="s">
        <v>483</v>
      </c>
      <c r="D174" s="1477"/>
      <c r="E174" s="1477"/>
      <c r="F174" s="1477"/>
      <c r="G174" s="1477"/>
      <c r="H174" s="1477"/>
      <c r="I174" s="1066" t="s">
        <v>325</v>
      </c>
      <c r="J174" s="1282" t="s">
        <v>325</v>
      </c>
      <c r="K174" s="1067"/>
    </row>
    <row r="175" spans="1:11" ht="15.75" customHeight="1">
      <c r="A175" s="1031"/>
      <c r="B175" s="743"/>
      <c r="C175" s="1577" t="s">
        <v>484</v>
      </c>
      <c r="D175" s="1477"/>
      <c r="E175" s="1477"/>
      <c r="F175" s="1477"/>
      <c r="G175" s="1477"/>
      <c r="H175" s="1477"/>
      <c r="I175" s="1066" t="s">
        <v>325</v>
      </c>
      <c r="J175" s="1282" t="s">
        <v>325</v>
      </c>
      <c r="K175" s="1067"/>
    </row>
    <row r="176" spans="1:11" ht="15.75" customHeight="1">
      <c r="A176" s="1031"/>
      <c r="B176" s="743"/>
      <c r="C176" s="1577" t="s">
        <v>1454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281">
        <f>ROUND(($J$167/(1-$I$179))*I176,2)</f>
        <v>0</v>
      </c>
      <c r="K176" s="1065"/>
    </row>
    <row r="177" spans="1:11" ht="15.75" customHeight="1">
      <c r="A177" s="1031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788">
        <f>SUM(J164+J166+J170+J171+J176)</f>
        <v>0</v>
      </c>
      <c r="K177" s="1049"/>
    </row>
    <row r="178" spans="1:11" ht="15.75" customHeight="1">
      <c r="A178" s="1031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1056"/>
    </row>
    <row r="179" spans="1:11" ht="15.75" customHeight="1">
      <c r="A179" s="1031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2">SUM(I170:I176)</f>
        <v>0.1125</v>
      </c>
      <c r="J179" s="866">
        <f t="shared" si="2"/>
        <v>0</v>
      </c>
      <c r="K179" s="1064"/>
    </row>
    <row r="180" spans="1:11" ht="15.75" customHeight="1">
      <c r="A180" s="1031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5"/>
    </row>
    <row r="181" spans="1:11" ht="15.75" customHeight="1">
      <c r="A181" s="1031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7"/>
    </row>
    <row r="182" spans="1:11" ht="15.75" customHeight="1">
      <c r="A182" s="1031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5"/>
    </row>
    <row r="183" spans="1:11" ht="15.75" customHeight="1">
      <c r="A183" s="1031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1068"/>
    </row>
    <row r="184" spans="1:11" ht="15.75" customHeight="1">
      <c r="A184" s="1031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</row>
    <row r="185" spans="1:11" ht="15.75" customHeight="1">
      <c r="A185" s="1031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1056"/>
    </row>
    <row r="186" spans="1:11" ht="15.75" customHeight="1">
      <c r="A186" s="1031"/>
      <c r="B186" s="1674" t="s">
        <v>1455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</row>
    <row r="187" spans="1:11" ht="15.75" customHeight="1">
      <c r="A187" s="1031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863" t="s">
        <v>390</v>
      </c>
      <c r="K187" s="697"/>
    </row>
    <row r="188" spans="1:11" ht="15.75" customHeight="1">
      <c r="A188" s="1031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0</v>
      </c>
      <c r="K188" s="789"/>
    </row>
    <row r="189" spans="1:11" ht="15.75" customHeight="1">
      <c r="A189" s="1031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0</v>
      </c>
      <c r="K189" s="789"/>
    </row>
    <row r="190" spans="1:11" ht="15.75" customHeight="1">
      <c r="A190" s="1031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0</v>
      </c>
      <c r="K190" s="789"/>
    </row>
    <row r="191" spans="1:11" ht="15.75" customHeight="1">
      <c r="A191" s="1031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0</v>
      </c>
      <c r="K191" s="789"/>
    </row>
    <row r="192" spans="1:11" ht="15.75" customHeight="1">
      <c r="A192" s="1031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0</v>
      </c>
      <c r="K192" s="789"/>
    </row>
    <row r="193" spans="1:11" ht="15.75" customHeight="1">
      <c r="A193" s="1031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0</v>
      </c>
      <c r="K193" s="789"/>
    </row>
    <row r="194" spans="1:11" ht="15.75" customHeight="1">
      <c r="A194" s="1031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0</v>
      </c>
      <c r="K194" s="789"/>
    </row>
    <row r="195" spans="1:11" ht="15.75" customHeight="1">
      <c r="A195" s="1031"/>
      <c r="B195" s="1600" t="s">
        <v>647</v>
      </c>
      <c r="C195" s="1477"/>
      <c r="D195" s="1477"/>
      <c r="E195" s="1477"/>
      <c r="F195" s="1477"/>
      <c r="G195" s="1477"/>
      <c r="H195" s="1477"/>
      <c r="I195" s="1521"/>
      <c r="J195" s="857">
        <f>J193+J194</f>
        <v>0</v>
      </c>
      <c r="K195" s="789"/>
    </row>
    <row r="196" spans="1:11" ht="33.75" customHeight="1">
      <c r="A196" s="1031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</row>
    <row r="197" spans="1:11" ht="15.75" customHeight="1">
      <c r="A197" s="1031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</row>
    <row r="198" spans="1:11" ht="15.75" customHeight="1">
      <c r="A198" s="1031"/>
      <c r="B198" s="885"/>
      <c r="C198" s="723"/>
      <c r="D198" s="723"/>
      <c r="E198" s="723"/>
      <c r="F198" s="723"/>
      <c r="G198" s="723"/>
      <c r="H198" s="723"/>
      <c r="I198" s="1069"/>
      <c r="J198" s="1070"/>
      <c r="K198" s="1069"/>
    </row>
    <row r="199" spans="1:11" ht="15.75" customHeight="1">
      <c r="A199" s="1031"/>
      <c r="B199" s="1693" t="s">
        <v>1228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</row>
    <row r="200" spans="1:11" ht="45" customHeight="1">
      <c r="A200" s="1031"/>
      <c r="B200" s="1641" t="s">
        <v>503</v>
      </c>
      <c r="C200" s="1477"/>
      <c r="D200" s="1477"/>
      <c r="E200" s="1478"/>
      <c r="F200" s="1641" t="s">
        <v>648</v>
      </c>
      <c r="G200" s="1478"/>
      <c r="H200" s="863" t="s">
        <v>506</v>
      </c>
      <c r="I200" s="1641" t="s">
        <v>507</v>
      </c>
      <c r="J200" s="1478"/>
      <c r="K200" s="697"/>
    </row>
    <row r="201" spans="1:11" ht="45" hidden="1" customHeight="1" outlineLevel="1">
      <c r="A201" s="1031"/>
      <c r="B201" s="1577" t="s">
        <v>508</v>
      </c>
      <c r="C201" s="1477"/>
      <c r="D201" s="1477"/>
      <c r="E201" s="1478"/>
      <c r="F201" s="1694">
        <v>0</v>
      </c>
      <c r="G201" s="1478"/>
      <c r="H201" s="1413">
        <f t="shared" ref="H201:H202" si="3">E201*F201</f>
        <v>0</v>
      </c>
      <c r="I201" s="1694">
        <f t="shared" ref="I201:I203" si="4">F201*H201</f>
        <v>0</v>
      </c>
      <c r="J201" s="1478"/>
      <c r="K201" s="770"/>
    </row>
    <row r="202" spans="1:11" ht="45" hidden="1" customHeight="1" outlineLevel="1">
      <c r="A202" s="1031"/>
      <c r="B202" s="1577" t="s">
        <v>509</v>
      </c>
      <c r="C202" s="1477"/>
      <c r="D202" s="1477"/>
      <c r="E202" s="1478"/>
      <c r="F202" s="1694">
        <v>0</v>
      </c>
      <c r="G202" s="1478"/>
      <c r="H202" s="1413">
        <f t="shared" si="3"/>
        <v>0</v>
      </c>
      <c r="I202" s="1694">
        <f t="shared" si="4"/>
        <v>0</v>
      </c>
      <c r="J202" s="1478"/>
      <c r="K202" s="770"/>
    </row>
    <row r="203" spans="1:11" ht="45" customHeight="1" collapsed="1">
      <c r="A203" s="1031"/>
      <c r="B203" s="1609" t="str">
        <f>B3</f>
        <v>A NÃO TEM MAIS POSTOS-88</v>
      </c>
      <c r="C203" s="1477"/>
      <c r="D203" s="1477"/>
      <c r="E203" s="1478"/>
      <c r="F203" s="1696">
        <f>J195</f>
        <v>0</v>
      </c>
      <c r="G203" s="1478"/>
      <c r="H203" s="1413">
        <f>I17</f>
        <v>0</v>
      </c>
      <c r="I203" s="1694">
        <f t="shared" si="4"/>
        <v>0</v>
      </c>
      <c r="J203" s="1478"/>
      <c r="K203" s="770"/>
    </row>
    <row r="204" spans="1:11" ht="45" hidden="1" customHeight="1" outlineLevel="1">
      <c r="A204" s="1031"/>
      <c r="B204" s="1577" t="s">
        <v>511</v>
      </c>
      <c r="C204" s="1477"/>
      <c r="D204" s="1477"/>
      <c r="E204" s="1478"/>
      <c r="F204" s="1696">
        <v>0</v>
      </c>
      <c r="G204" s="1478"/>
      <c r="H204" s="1413">
        <f t="shared" ref="H204:I204" si="5">E204*G204</f>
        <v>0</v>
      </c>
      <c r="I204" s="1694">
        <f t="shared" si="5"/>
        <v>0</v>
      </c>
      <c r="J204" s="1478"/>
      <c r="K204" s="770"/>
    </row>
    <row r="205" spans="1:11" ht="45" hidden="1" customHeight="1" outlineLevel="1">
      <c r="A205" s="1031"/>
      <c r="B205" s="1577" t="s">
        <v>512</v>
      </c>
      <c r="C205" s="1477"/>
      <c r="D205" s="1477"/>
      <c r="E205" s="1478"/>
      <c r="F205" s="1696">
        <v>0</v>
      </c>
      <c r="G205" s="1478"/>
      <c r="H205" s="1413">
        <f t="shared" ref="H205:I205" si="6">E205*G205</f>
        <v>0</v>
      </c>
      <c r="I205" s="1694">
        <f t="shared" si="6"/>
        <v>0</v>
      </c>
      <c r="J205" s="1478"/>
      <c r="K205" s="770"/>
    </row>
    <row r="206" spans="1:11" ht="15.75" hidden="1" customHeight="1" outlineLevel="1">
      <c r="A206" s="1031"/>
      <c r="B206" s="1730" t="s">
        <v>1456</v>
      </c>
      <c r="C206" s="1477"/>
      <c r="D206" s="1477"/>
      <c r="E206" s="1478"/>
      <c r="F206" s="1694">
        <v>0</v>
      </c>
      <c r="G206" s="1478"/>
      <c r="H206" s="1413">
        <f t="shared" ref="H206:I206" si="7">E206*G206</f>
        <v>0</v>
      </c>
      <c r="I206" s="1694">
        <f t="shared" si="7"/>
        <v>0</v>
      </c>
      <c r="J206" s="1478"/>
      <c r="K206" s="770"/>
    </row>
    <row r="207" spans="1:11" ht="15.75" customHeight="1" collapsed="1">
      <c r="A207" s="1031"/>
      <c r="B207" s="1699" t="s">
        <v>514</v>
      </c>
      <c r="C207" s="1477"/>
      <c r="D207" s="1477"/>
      <c r="E207" s="1477"/>
      <c r="F207" s="1477"/>
      <c r="G207" s="1478"/>
      <c r="H207" s="1414">
        <f>SUM(H201:H206)</f>
        <v>0</v>
      </c>
      <c r="I207" s="1786">
        <f>SUM(I201:J206)</f>
        <v>0</v>
      </c>
      <c r="J207" s="1478"/>
      <c r="K207" s="1283"/>
    </row>
    <row r="208" spans="1:11" ht="6.75" customHeight="1">
      <c r="A208" s="1031"/>
      <c r="B208" s="1700"/>
      <c r="C208" s="1701"/>
      <c r="D208" s="1701"/>
      <c r="E208" s="1701"/>
      <c r="F208" s="1701"/>
      <c r="G208" s="1701"/>
      <c r="H208" s="1701"/>
      <c r="I208" s="1701"/>
      <c r="J208" s="1702"/>
      <c r="K208" s="1056"/>
    </row>
    <row r="209" spans="1:11" ht="15.75" customHeight="1">
      <c r="A209" s="1031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</row>
    <row r="210" spans="1:11" ht="6.75" customHeight="1">
      <c r="A210" s="1031"/>
      <c r="B210" s="1724"/>
      <c r="C210" s="1477"/>
      <c r="D210" s="1477"/>
      <c r="E210" s="1477"/>
      <c r="F210" s="1477"/>
      <c r="G210" s="1477"/>
      <c r="H210" s="1477"/>
      <c r="I210" s="1477"/>
      <c r="J210" s="1478"/>
      <c r="K210" s="1284"/>
    </row>
    <row r="211" spans="1:11" ht="15.75" customHeight="1">
      <c r="A211" s="1031"/>
      <c r="B211" s="1563" t="s">
        <v>516</v>
      </c>
      <c r="C211" s="1477"/>
      <c r="D211" s="1477"/>
      <c r="E211" s="1477"/>
      <c r="F211" s="1477"/>
      <c r="G211" s="1478"/>
      <c r="H211" s="1564">
        <f>$I$207</f>
        <v>0</v>
      </c>
      <c r="I211" s="1477"/>
      <c r="J211" s="1478"/>
      <c r="K211" s="901"/>
    </row>
    <row r="212" spans="1:11" ht="6.75" customHeight="1">
      <c r="A212" s="1031"/>
      <c r="B212" s="1725"/>
      <c r="C212" s="1528"/>
      <c r="D212" s="1528"/>
      <c r="E212" s="1528"/>
      <c r="F212" s="1528"/>
      <c r="G212" s="1528"/>
      <c r="H212" s="1528"/>
      <c r="I212" s="1528"/>
      <c r="J212" s="1566"/>
      <c r="K212" s="1285"/>
    </row>
    <row r="213" spans="1:11" ht="15.75" customHeight="1">
      <c r="A213" s="1031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</row>
    <row r="214" spans="1:11" ht="6.75" customHeight="1">
      <c r="A214" s="1031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</row>
    <row r="215" spans="1:11" ht="15.75" customHeight="1">
      <c r="A215" s="1031"/>
      <c r="B215" s="1563" t="s">
        <v>1457</v>
      </c>
      <c r="C215" s="1477"/>
      <c r="D215" s="1477"/>
      <c r="E215" s="1477"/>
      <c r="F215" s="1477"/>
      <c r="G215" s="1478"/>
      <c r="H215" s="1569">
        <f>ROUND(H211*H213,2)</f>
        <v>0</v>
      </c>
      <c r="I215" s="1477"/>
      <c r="J215" s="1478"/>
      <c r="K215" s="1286"/>
    </row>
    <row r="216" spans="1:11" ht="6.75" customHeight="1">
      <c r="A216" s="1031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</row>
    <row r="217" spans="1:11" ht="15.75" customHeight="1">
      <c r="A217" s="1031"/>
      <c r="B217" s="1031"/>
      <c r="C217" s="1031"/>
      <c r="D217" s="1031"/>
      <c r="E217" s="1031"/>
      <c r="F217" s="1031"/>
      <c r="G217" s="1031"/>
      <c r="H217" s="1031"/>
      <c r="I217" s="1031"/>
      <c r="J217" s="1031"/>
      <c r="K217" s="1031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1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000"/>
  <sheetViews>
    <sheetView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11.26953125" customWidth="1"/>
    <col min="4" max="4" width="13.26953125" customWidth="1"/>
    <col min="5" max="5" width="14.453125" customWidth="1"/>
    <col min="6" max="6" width="12.453125" customWidth="1"/>
    <col min="7" max="7" width="14.7265625" customWidth="1"/>
    <col min="8" max="8" width="14.453125" customWidth="1"/>
    <col min="9" max="9" width="11.26953125" customWidth="1"/>
    <col min="10" max="10" width="14.54296875" customWidth="1"/>
    <col min="11" max="11" width="1.453125" customWidth="1"/>
  </cols>
  <sheetData>
    <row r="1" spans="1:11" ht="11.25" customHeight="1">
      <c r="A1" s="1031"/>
      <c r="B1" s="1031"/>
      <c r="C1" s="1031"/>
      <c r="D1" s="1031"/>
      <c r="E1" s="1031"/>
      <c r="F1" s="1031"/>
      <c r="G1" s="1031"/>
      <c r="H1" s="1031"/>
      <c r="I1" s="1031"/>
      <c r="J1" s="1291"/>
      <c r="K1" s="1031"/>
    </row>
    <row r="2" spans="1:11" ht="11.25" customHeight="1">
      <c r="A2" s="1031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</row>
    <row r="3" spans="1:11" ht="11.25" customHeight="1">
      <c r="A3" s="1031"/>
      <c r="B3" s="1737" t="str">
        <f>'1-ABA-DE-CARREGAMENTO'!N33</f>
        <v>A NÃO TEM MAIS POSTOS-99</v>
      </c>
      <c r="C3" s="1575"/>
      <c r="D3" s="1575"/>
      <c r="E3" s="1575"/>
      <c r="F3" s="1575"/>
      <c r="G3" s="1575"/>
      <c r="H3" s="1575"/>
      <c r="I3" s="1575"/>
      <c r="J3" s="1608"/>
      <c r="K3" s="720"/>
    </row>
    <row r="4" spans="1:11" ht="11.25" customHeight="1">
      <c r="A4" s="1031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</row>
    <row r="5" spans="1:11" ht="11.25" customHeight="1">
      <c r="A5" s="1031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</row>
    <row r="6" spans="1:11" ht="11.25" customHeight="1">
      <c r="A6" s="1031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</row>
    <row r="7" spans="1:11" ht="11.25" customHeight="1">
      <c r="A7" s="1031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</row>
    <row r="8" spans="1:11" ht="11.25" customHeight="1">
      <c r="A8" s="1031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</row>
    <row r="9" spans="1:11" ht="11.25" customHeight="1">
      <c r="A9" s="1031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</row>
    <row r="10" spans="1:11" ht="11.25" customHeight="1">
      <c r="A10" s="1031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VLOOKUP('1-ABA-DE-CARREGAMENTO'!N35,'DADOS-CADASTRAIS'!C6:O71,1,0)</f>
        <v>RS000947/2019-</v>
      </c>
      <c r="J10" s="1478"/>
      <c r="K10" s="721"/>
    </row>
    <row r="11" spans="1:11" ht="11.25" customHeight="1">
      <c r="A11" s="1031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'1-ABA-DE-CARREGAMENTO'!N94</f>
        <v>30</v>
      </c>
      <c r="J11" s="1478"/>
      <c r="K11" s="721"/>
    </row>
    <row r="12" spans="1:11" ht="11.25" customHeight="1">
      <c r="A12" s="1031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</row>
    <row r="13" spans="1:11" ht="36.75" customHeight="1">
      <c r="A13" s="1031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</row>
    <row r="14" spans="1:11" ht="11.25" hidden="1" customHeight="1" outlineLevel="1">
      <c r="A14" s="1031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</row>
    <row r="15" spans="1:11" ht="11.25" hidden="1" customHeight="1" outlineLevel="1">
      <c r="A15" s="1031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</row>
    <row r="16" spans="1:11" ht="11.25" hidden="1" customHeight="1" outlineLevel="1">
      <c r="A16" s="1031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</row>
    <row r="17" spans="1:11" ht="11.25" customHeight="1" collapsed="1">
      <c r="A17" s="1031"/>
      <c r="B17" s="1611" t="str">
        <f>B3</f>
        <v>A NÃO TEM MAIS POSTOS-99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'1-ABA-DE-CARREGAMENTO'!N92</f>
        <v>0</v>
      </c>
      <c r="J17" s="1478"/>
      <c r="K17" s="728"/>
    </row>
    <row r="18" spans="1:11" ht="11.25" hidden="1" customHeight="1" outlineLevel="1">
      <c r="A18" s="1031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</row>
    <row r="19" spans="1:11" ht="11.25" hidden="1" customHeight="1" outlineLevel="1">
      <c r="A19" s="1031"/>
      <c r="B19" s="1611" t="s">
        <v>1458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</row>
    <row r="20" spans="1:11" ht="11.25" customHeight="1" collapsed="1">
      <c r="A20" s="1031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0</v>
      </c>
      <c r="J20" s="1478"/>
      <c r="K20" s="729"/>
    </row>
    <row r="21" spans="1:11" ht="11.25" customHeight="1">
      <c r="A21" s="1031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</row>
    <row r="22" spans="1:11" ht="11.25" customHeight="1">
      <c r="A22" s="1031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</row>
    <row r="23" spans="1:11" ht="11.25" customHeight="1">
      <c r="A23" s="1031"/>
      <c r="B23" s="1618"/>
      <c r="C23" s="1477"/>
      <c r="D23" s="1477"/>
      <c r="E23" s="1477"/>
      <c r="F23" s="1477"/>
      <c r="G23" s="1477"/>
      <c r="H23" s="1477"/>
      <c r="I23" s="1477"/>
      <c r="J23" s="1478"/>
      <c r="K23" s="459"/>
    </row>
    <row r="24" spans="1:11" ht="15" customHeight="1">
      <c r="A24" s="1031"/>
      <c r="B24" s="1726" t="s">
        <v>1459</v>
      </c>
      <c r="C24" s="1477"/>
      <c r="D24" s="1477"/>
      <c r="E24" s="1477"/>
      <c r="F24" s="1477"/>
      <c r="G24" s="1477"/>
      <c r="H24" s="1477"/>
      <c r="I24" s="1477"/>
      <c r="J24" s="1478"/>
      <c r="K24" s="1034"/>
    </row>
    <row r="25" spans="1:11" ht="15" customHeight="1">
      <c r="A25" s="1031"/>
      <c r="B25" s="1727"/>
      <c r="C25" s="1477"/>
      <c r="D25" s="1477"/>
      <c r="E25" s="1477"/>
      <c r="F25" s="1477"/>
      <c r="G25" s="1477"/>
      <c r="H25" s="1477"/>
      <c r="I25" s="1477"/>
      <c r="J25" s="1478"/>
      <c r="K25" s="1035"/>
    </row>
    <row r="26" spans="1:11" ht="11.2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</row>
    <row r="27" spans="1:11" ht="30" customHeight="1">
      <c r="A27" s="1031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'1-ABA-DE-CARREGAMENTO'!N33</f>
        <v>A NÃO TEM MAIS POSTOS-99</v>
      </c>
      <c r="J27" s="1478"/>
      <c r="K27" s="732"/>
    </row>
    <row r="28" spans="1:11" ht="11.25" customHeight="1">
      <c r="A28" s="1031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787"/>
      <c r="J28" s="1478"/>
      <c r="K28" s="734"/>
    </row>
    <row r="29" spans="1:11" ht="33" customHeight="1">
      <c r="A29" s="1031"/>
      <c r="B29" s="696">
        <v>3</v>
      </c>
      <c r="C29" s="1625" t="s">
        <v>336</v>
      </c>
      <c r="D29" s="1468"/>
      <c r="E29" s="1036">
        <v>220</v>
      </c>
      <c r="F29" s="737">
        <f>'1-ABA-DE-CARREGAMENTO'!N37</f>
        <v>0</v>
      </c>
      <c r="G29" s="722" t="s">
        <v>1171</v>
      </c>
      <c r="H29" s="1276">
        <f>'1-ABA-DE-CARREGAMENTO'!N52</f>
        <v>220</v>
      </c>
      <c r="I29" s="1626">
        <f>F29/E29*H29</f>
        <v>0</v>
      </c>
      <c r="J29" s="1478"/>
      <c r="K29" s="1037"/>
    </row>
    <row r="30" spans="1:11" ht="11.25" customHeight="1">
      <c r="A30" s="1031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</row>
    <row r="31" spans="1:11" ht="11.25" customHeight="1">
      <c r="A31" s="1031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788">
        <v>0</v>
      </c>
      <c r="J31" s="1478"/>
      <c r="K31" s="742"/>
    </row>
    <row r="32" spans="1:11" ht="12.75" customHeight="1">
      <c r="A32" s="1031"/>
      <c r="B32" s="1038">
        <v>6</v>
      </c>
      <c r="C32" s="1560" t="s">
        <v>1460</v>
      </c>
      <c r="D32" s="1477"/>
      <c r="E32" s="1477"/>
      <c r="F32" s="1477"/>
      <c r="G32" s="1477"/>
      <c r="H32" s="1478"/>
      <c r="I32" s="1630">
        <f>ROUND(I29/220,2)*0</f>
        <v>0</v>
      </c>
      <c r="J32" s="1478"/>
      <c r="K32" s="744"/>
    </row>
    <row r="33" spans="1:11" ht="40.5" customHeight="1">
      <c r="A33" s="1031"/>
      <c r="B33" s="1038">
        <v>7</v>
      </c>
      <c r="C33" s="1560" t="s">
        <v>1461</v>
      </c>
      <c r="D33" s="1477"/>
      <c r="E33" s="1477"/>
      <c r="F33" s="1478"/>
      <c r="G33" s="1631"/>
      <c r="H33" s="1478"/>
      <c r="I33" s="1630">
        <f>SUM(J47:J50)/220</f>
        <v>0</v>
      </c>
      <c r="J33" s="1478"/>
      <c r="K33" s="744"/>
    </row>
    <row r="34" spans="1:11" ht="27" customHeight="1">
      <c r="A34" s="1031"/>
      <c r="B34" s="1038">
        <v>8</v>
      </c>
      <c r="C34" s="1560" t="s">
        <v>1462</v>
      </c>
      <c r="D34" s="1477"/>
      <c r="E34" s="1477"/>
      <c r="F34" s="1478"/>
      <c r="G34" s="1631"/>
      <c r="H34" s="1478"/>
      <c r="I34" s="1630">
        <f>TRUNC(I33*1.5,2)*0</f>
        <v>0</v>
      </c>
      <c r="J34" s="1478"/>
      <c r="K34" s="744"/>
    </row>
    <row r="35" spans="1:11" ht="27" customHeight="1">
      <c r="A35" s="1031"/>
      <c r="B35" s="1038">
        <v>9</v>
      </c>
      <c r="C35" s="1560" t="s">
        <v>1463</v>
      </c>
      <c r="D35" s="1477"/>
      <c r="E35" s="1477"/>
      <c r="F35" s="1478"/>
      <c r="G35" s="1631" t="s">
        <v>344</v>
      </c>
      <c r="H35" s="1478"/>
      <c r="I35" s="1753">
        <f>I33*1.5</f>
        <v>0</v>
      </c>
      <c r="J35" s="1478"/>
      <c r="K35" s="1039"/>
    </row>
    <row r="36" spans="1:11" ht="27" customHeight="1">
      <c r="A36" s="1031"/>
      <c r="B36" s="1038">
        <v>10</v>
      </c>
      <c r="C36" s="1560" t="s">
        <v>1464</v>
      </c>
      <c r="D36" s="1477"/>
      <c r="E36" s="1477"/>
      <c r="F36" s="1477"/>
      <c r="G36" s="1477"/>
      <c r="H36" s="1478"/>
      <c r="I36" s="1630">
        <f>TRUNC(1.3*I32*0.2,2)</f>
        <v>0</v>
      </c>
      <c r="J36" s="1478"/>
      <c r="K36" s="744"/>
    </row>
    <row r="37" spans="1:11" ht="27" customHeight="1">
      <c r="A37" s="1031"/>
      <c r="B37" s="1038">
        <v>11</v>
      </c>
      <c r="C37" s="1560" t="s">
        <v>1465</v>
      </c>
      <c r="D37" s="1477"/>
      <c r="E37" s="1477"/>
      <c r="F37" s="1477"/>
      <c r="G37" s="1477"/>
      <c r="H37" s="1478"/>
      <c r="I37" s="1630">
        <f>I33*2</f>
        <v>0</v>
      </c>
      <c r="J37" s="1478"/>
      <c r="K37" s="744"/>
    </row>
    <row r="38" spans="1:11" ht="14.25" customHeight="1">
      <c r="A38" s="1031"/>
      <c r="B38" s="1038">
        <v>12</v>
      </c>
      <c r="C38" s="1560" t="s">
        <v>1466</v>
      </c>
      <c r="D38" s="1477"/>
      <c r="E38" s="1477"/>
      <c r="F38" s="1477"/>
      <c r="G38" s="1477"/>
      <c r="H38" s="1478"/>
      <c r="I38" s="1630">
        <f>I29*'1-ABA-DE-CARREGAMENTO'!D44</f>
        <v>0</v>
      </c>
      <c r="J38" s="1478"/>
      <c r="K38" s="744"/>
    </row>
    <row r="39" spans="1:11" ht="14.25" customHeight="1">
      <c r="A39" s="1031"/>
      <c r="B39" s="1038">
        <v>13</v>
      </c>
      <c r="C39" s="1560" t="s">
        <v>348</v>
      </c>
      <c r="D39" s="1477"/>
      <c r="E39" s="1477"/>
      <c r="F39" s="1477"/>
      <c r="G39" s="1477"/>
      <c r="H39" s="1478"/>
      <c r="I39" s="1630">
        <f>ROUND(I32/6,2)*1.3</f>
        <v>0</v>
      </c>
      <c r="J39" s="1478"/>
      <c r="K39" s="744"/>
    </row>
    <row r="40" spans="1:11" ht="11.25" customHeight="1">
      <c r="A40" s="1031"/>
      <c r="B40" s="1038">
        <v>14</v>
      </c>
      <c r="C40" s="1789" t="s">
        <v>349</v>
      </c>
      <c r="D40" s="1477"/>
      <c r="E40" s="1477"/>
      <c r="F40" s="1477"/>
      <c r="G40" s="1477"/>
      <c r="H40" s="1478"/>
      <c r="I40" s="1790">
        <f>'1-ABA-DE-CARREGAMENTO'!N93</f>
        <v>1</v>
      </c>
      <c r="J40" s="1478"/>
      <c r="K40" s="1040"/>
    </row>
    <row r="41" spans="1:11" ht="11.25" customHeight="1">
      <c r="A41" s="1031"/>
      <c r="B41" s="1038">
        <v>15</v>
      </c>
      <c r="C41" s="1789" t="s">
        <v>1352</v>
      </c>
      <c r="D41" s="1477"/>
      <c r="E41" s="1477"/>
      <c r="F41" s="1477"/>
      <c r="G41" s="1477"/>
      <c r="H41" s="1478"/>
      <c r="I41" s="1714">
        <f>'1-ABA-DE-CARREGAMENTO'!E42</f>
        <v>1621</v>
      </c>
      <c r="J41" s="1478"/>
      <c r="K41" s="749"/>
    </row>
    <row r="42" spans="1:11" ht="11.25" customHeight="1">
      <c r="A42" s="1031"/>
      <c r="B42" s="1618"/>
      <c r="C42" s="1477"/>
      <c r="D42" s="1477"/>
      <c r="E42" s="1477"/>
      <c r="F42" s="1477"/>
      <c r="G42" s="1477"/>
      <c r="H42" s="1477"/>
      <c r="I42" s="1477"/>
      <c r="J42" s="1478"/>
      <c r="K42" s="459"/>
    </row>
    <row r="43" spans="1:11" ht="30" customHeight="1">
      <c r="A43" s="1031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</row>
    <row r="44" spans="1:11" ht="14.25" customHeight="1">
      <c r="A44" s="1031"/>
      <c r="B44" s="1728"/>
      <c r="C44" s="1477"/>
      <c r="D44" s="1477"/>
      <c r="E44" s="1477"/>
      <c r="F44" s="1477"/>
      <c r="G44" s="1477"/>
      <c r="H44" s="1477"/>
      <c r="I44" s="1477"/>
      <c r="J44" s="1478"/>
      <c r="K44" s="1041"/>
    </row>
    <row r="45" spans="1:11" ht="11.25" customHeight="1">
      <c r="A45" s="1031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</row>
    <row r="46" spans="1:11" ht="11.25" customHeight="1">
      <c r="A46" s="104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753" t="s">
        <v>355</v>
      </c>
      <c r="K46" s="727"/>
    </row>
    <row r="47" spans="1:11" ht="12.75" customHeight="1">
      <c r="A47" s="1031"/>
      <c r="B47" s="696" t="s">
        <v>312</v>
      </c>
      <c r="C47" s="1577" t="s">
        <v>1041</v>
      </c>
      <c r="D47" s="1477"/>
      <c r="E47" s="1477"/>
      <c r="F47" s="1478"/>
      <c r="G47" s="755" t="s">
        <v>52</v>
      </c>
      <c r="H47" s="756">
        <f>'1-ABA-DE-CARREGAMENTO'!N52</f>
        <v>220</v>
      </c>
      <c r="I47" s="755"/>
      <c r="J47" s="758">
        <f>I29*I40</f>
        <v>0</v>
      </c>
      <c r="K47" s="1043"/>
    </row>
    <row r="48" spans="1:11" ht="11.25" customHeight="1">
      <c r="A48" s="1031"/>
      <c r="B48" s="696" t="s">
        <v>314</v>
      </c>
      <c r="C48" s="1577" t="s">
        <v>1179</v>
      </c>
      <c r="D48" s="1477"/>
      <c r="E48" s="1477"/>
      <c r="F48" s="1654" t="str">
        <f>'1-ABA-DE-CARREGAMENTO'!N38</f>
        <v>SEM ADICIONAL DE FUNÇÃO</v>
      </c>
      <c r="G48" s="1477"/>
      <c r="H48" s="1478"/>
      <c r="I48" s="994">
        <f>'1-ABA-DE-CARREGAMENTO'!N39</f>
        <v>0</v>
      </c>
      <c r="J48" s="758">
        <f>J47*I48</f>
        <v>0</v>
      </c>
      <c r="K48" s="1043"/>
    </row>
    <row r="49" spans="1:11" ht="11.25" customHeight="1">
      <c r="A49" s="1031"/>
      <c r="B49" s="696" t="s">
        <v>316</v>
      </c>
      <c r="C49" s="1577" t="s">
        <v>1467</v>
      </c>
      <c r="D49" s="1477"/>
      <c r="E49" s="1477"/>
      <c r="F49" s="1477"/>
      <c r="G49" s="1477"/>
      <c r="H49" s="1478"/>
      <c r="I49" s="871">
        <f>'1-ABA-DE-CARREGAMENTO'!N44</f>
        <v>0</v>
      </c>
      <c r="J49" s="758">
        <f>ROUND(J47*I49,2)</f>
        <v>0</v>
      </c>
      <c r="K49" s="1043"/>
    </row>
    <row r="50" spans="1:11" ht="11.25" customHeight="1">
      <c r="A50" s="1031"/>
      <c r="B50" s="696" t="s">
        <v>318</v>
      </c>
      <c r="C50" s="1577" t="s">
        <v>1468</v>
      </c>
      <c r="D50" s="1477"/>
      <c r="E50" s="1477"/>
      <c r="F50" s="1477"/>
      <c r="G50" s="1654" t="str">
        <f>'1-ABA-DE-CARREGAMENTO'!N40</f>
        <v>SEM ADICIONAL DE RISCO</v>
      </c>
      <c r="H50" s="1478"/>
      <c r="I50" s="1073">
        <f>'1-ABA-DE-CARREGAMENTO'!N41</f>
        <v>0</v>
      </c>
      <c r="J50" s="758">
        <f>ROUND(I50*I41,2)</f>
        <v>0</v>
      </c>
      <c r="K50" s="1043"/>
    </row>
    <row r="51" spans="1:11" ht="35.25" customHeight="1">
      <c r="A51" s="1031"/>
      <c r="B51" s="696" t="s">
        <v>360</v>
      </c>
      <c r="C51" s="1577" t="s">
        <v>1469</v>
      </c>
      <c r="D51" s="1477"/>
      <c r="E51" s="1477"/>
      <c r="F51" s="1477"/>
      <c r="G51" s="1477"/>
      <c r="H51" s="1477"/>
      <c r="I51" s="1478"/>
      <c r="J51" s="758">
        <f>ROUND(2*8*15*I36,2)*0</f>
        <v>0</v>
      </c>
      <c r="K51" s="1043"/>
    </row>
    <row r="52" spans="1:11" ht="42" customHeight="1">
      <c r="A52" s="1031"/>
      <c r="B52" s="696" t="s">
        <v>364</v>
      </c>
      <c r="C52" s="1656" t="s">
        <v>1470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1043"/>
    </row>
    <row r="53" spans="1:11" ht="35.25" customHeight="1">
      <c r="A53" s="1031"/>
      <c r="B53" s="696" t="s">
        <v>366</v>
      </c>
      <c r="C53" s="1656" t="s">
        <v>1471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1043"/>
    </row>
    <row r="54" spans="1:11" ht="35.25" customHeight="1">
      <c r="A54" s="1031"/>
      <c r="B54" s="696" t="s">
        <v>368</v>
      </c>
      <c r="C54" s="1656" t="s">
        <v>1184</v>
      </c>
      <c r="D54" s="1477"/>
      <c r="E54" s="1477"/>
      <c r="F54" s="1754" t="s">
        <v>1472</v>
      </c>
      <c r="G54" s="1477"/>
      <c r="H54" s="1477"/>
      <c r="I54" s="1278">
        <f>'1-ABA-DE-CARREGAMENTO'!N65</f>
        <v>0</v>
      </c>
      <c r="J54" s="758">
        <f>ROUND((((SUM(J47:J50))/220)*1.5)*I54,2)</f>
        <v>0</v>
      </c>
      <c r="K54" s="1043"/>
    </row>
    <row r="55" spans="1:11" ht="35.25" customHeight="1">
      <c r="A55" s="1031"/>
      <c r="B55" s="696" t="s">
        <v>372</v>
      </c>
      <c r="C55" s="1656" t="s">
        <v>1186</v>
      </c>
      <c r="D55" s="1477"/>
      <c r="E55" s="1477"/>
      <c r="F55" s="1754" t="s">
        <v>1473</v>
      </c>
      <c r="G55" s="1477"/>
      <c r="H55" s="1477"/>
      <c r="I55" s="1278">
        <v>0</v>
      </c>
      <c r="J55" s="758">
        <f>ROUND((((SUM(J47:J50))/220)*2)*I55,2)</f>
        <v>0</v>
      </c>
      <c r="K55" s="1043"/>
    </row>
    <row r="56" spans="1:11" ht="35.25" customHeight="1">
      <c r="A56" s="1031"/>
      <c r="B56" s="696" t="s">
        <v>376</v>
      </c>
      <c r="C56" s="1577" t="s">
        <v>1474</v>
      </c>
      <c r="D56" s="1477"/>
      <c r="E56" s="1477"/>
      <c r="F56" s="1477"/>
      <c r="G56" s="1477"/>
      <c r="H56" s="1477"/>
      <c r="I56" s="1478"/>
      <c r="J56" s="758">
        <f>ROUND(((J54+J55)/25)*5,2)</f>
        <v>0</v>
      </c>
      <c r="K56" s="1043"/>
    </row>
    <row r="57" spans="1:11" ht="11.25" customHeight="1">
      <c r="A57" s="1031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1046"/>
    </row>
    <row r="58" spans="1:11" ht="11.25" customHeight="1">
      <c r="A58" s="1031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0</v>
      </c>
      <c r="K58" s="1047"/>
    </row>
    <row r="59" spans="1:11" ht="14.25" customHeight="1">
      <c r="A59" s="1031"/>
      <c r="B59" s="773"/>
      <c r="C59" s="1657"/>
      <c r="D59" s="1477"/>
      <c r="E59" s="1477"/>
      <c r="F59" s="1477"/>
      <c r="G59" s="1477"/>
      <c r="H59" s="1477"/>
      <c r="I59" s="1478"/>
      <c r="J59" s="774"/>
      <c r="K59" s="1047"/>
    </row>
    <row r="60" spans="1:11" ht="11.25" customHeight="1">
      <c r="A60" s="1031"/>
      <c r="B60" s="696" t="s">
        <v>368</v>
      </c>
      <c r="C60" s="1577" t="s">
        <v>1475</v>
      </c>
      <c r="D60" s="1477"/>
      <c r="E60" s="1477"/>
      <c r="F60" s="1477"/>
      <c r="G60" s="1477"/>
      <c r="H60" s="1477"/>
      <c r="I60" s="1478"/>
      <c r="J60" s="758">
        <f>ROUND(I34*15*I40*0.5,2)*0</f>
        <v>0</v>
      </c>
      <c r="K60" s="1043"/>
    </row>
    <row r="61" spans="1:11" ht="11.25" customHeight="1">
      <c r="A61" s="1031"/>
      <c r="B61" s="1572" t="s">
        <v>1476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1047"/>
    </row>
    <row r="62" spans="1:11" ht="11.25" customHeight="1">
      <c r="A62" s="1031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</row>
    <row r="63" spans="1:11" ht="11.25" customHeight="1">
      <c r="A63" s="1031"/>
      <c r="B63" s="1578" t="s">
        <v>1477</v>
      </c>
      <c r="C63" s="1477"/>
      <c r="D63" s="1477"/>
      <c r="E63" s="1477"/>
      <c r="F63" s="1477"/>
      <c r="G63" s="1477"/>
      <c r="H63" s="1477"/>
      <c r="I63" s="1478"/>
      <c r="J63" s="775">
        <f>J58+J61</f>
        <v>0</v>
      </c>
      <c r="K63" s="776"/>
    </row>
    <row r="64" spans="1:11" ht="11.25" customHeight="1">
      <c r="A64" s="1031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</row>
    <row r="65" spans="1:11" ht="11.25" customHeight="1">
      <c r="A65" s="1031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</row>
    <row r="66" spans="1:11" ht="11.25" customHeight="1">
      <c r="A66" s="1031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</row>
    <row r="67" spans="1:11" ht="11.25" customHeight="1">
      <c r="A67" s="1031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1048"/>
    </row>
    <row r="68" spans="1:11" ht="11.25" customHeight="1">
      <c r="A68" s="1031"/>
      <c r="B68" s="1580" t="s">
        <v>1478</v>
      </c>
      <c r="C68" s="1477"/>
      <c r="D68" s="1477"/>
      <c r="E68" s="1477"/>
      <c r="F68" s="1477"/>
      <c r="G68" s="1477"/>
      <c r="H68" s="1477"/>
      <c r="I68" s="1477"/>
      <c r="J68" s="1478"/>
      <c r="K68" s="931"/>
    </row>
    <row r="69" spans="1:11" ht="15" customHeight="1">
      <c r="A69" s="1031"/>
      <c r="B69" s="781" t="s">
        <v>388</v>
      </c>
      <c r="C69" s="1659" t="s">
        <v>1479</v>
      </c>
      <c r="D69" s="1477"/>
      <c r="E69" s="1477"/>
      <c r="F69" s="1477"/>
      <c r="G69" s="1477"/>
      <c r="H69" s="1477"/>
      <c r="I69" s="1478"/>
      <c r="J69" s="782" t="s">
        <v>390</v>
      </c>
      <c r="K69" s="783"/>
    </row>
    <row r="70" spans="1:11" ht="11.25" customHeight="1">
      <c r="A70" s="1031"/>
      <c r="B70" s="781" t="s">
        <v>312</v>
      </c>
      <c r="C70" s="1656" t="s">
        <v>1480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0</v>
      </c>
      <c r="K70" s="786"/>
    </row>
    <row r="71" spans="1:11" ht="14.25" customHeight="1">
      <c r="A71" s="1031"/>
      <c r="B71" s="781" t="s">
        <v>314</v>
      </c>
      <c r="C71" s="1582" t="s">
        <v>1481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0</v>
      </c>
      <c r="K71" s="786"/>
    </row>
    <row r="72" spans="1:11" ht="11.25" customHeight="1">
      <c r="A72" s="1031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0</v>
      </c>
      <c r="K72" s="1049"/>
    </row>
    <row r="73" spans="1:11" ht="14.25" customHeight="1">
      <c r="A73" s="1031"/>
      <c r="B73" s="1661"/>
      <c r="C73" s="1477"/>
      <c r="D73" s="1477"/>
      <c r="E73" s="1477"/>
      <c r="F73" s="1477"/>
      <c r="G73" s="1477"/>
      <c r="H73" s="1477"/>
      <c r="I73" s="1477"/>
      <c r="J73" s="1478"/>
      <c r="K73" s="1050"/>
    </row>
    <row r="74" spans="1:11" ht="11.25" customHeight="1">
      <c r="A74" s="1031"/>
      <c r="B74" s="1653" t="s">
        <v>1482</v>
      </c>
      <c r="C74" s="1477"/>
      <c r="D74" s="1477"/>
      <c r="E74" s="1477"/>
      <c r="F74" s="1477"/>
      <c r="G74" s="1477"/>
      <c r="H74" s="1477"/>
      <c r="I74" s="1477"/>
      <c r="J74" s="1478"/>
      <c r="K74" s="750"/>
    </row>
    <row r="75" spans="1:11" ht="14.25" customHeight="1">
      <c r="A75" s="1031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</row>
    <row r="76" spans="1:11" ht="14.25" customHeight="1">
      <c r="A76" s="1031"/>
      <c r="B76" s="1663" t="s">
        <v>1483</v>
      </c>
      <c r="C76" s="1477"/>
      <c r="D76" s="1477"/>
      <c r="E76" s="1477"/>
      <c r="F76" s="1477"/>
      <c r="G76" s="1477"/>
      <c r="H76" s="1477"/>
      <c r="I76" s="1477"/>
      <c r="J76" s="1478"/>
      <c r="K76" s="780"/>
    </row>
    <row r="77" spans="1:11" ht="11.25" customHeight="1">
      <c r="A77" s="1031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</row>
    <row r="78" spans="1:11" ht="11.25" customHeight="1">
      <c r="A78" s="1031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0</v>
      </c>
      <c r="K78" s="1049"/>
    </row>
    <row r="79" spans="1:11" ht="11.25" customHeight="1">
      <c r="A79" s="1031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0</v>
      </c>
      <c r="K79" s="1049"/>
    </row>
    <row r="80" spans="1:11" ht="11.25" customHeight="1">
      <c r="A80" s="1031"/>
      <c r="B80" s="794" t="s">
        <v>316</v>
      </c>
      <c r="C80" s="1577" t="s">
        <v>1484</v>
      </c>
      <c r="D80" s="1478"/>
      <c r="E80" s="1051" t="s">
        <v>402</v>
      </c>
      <c r="F80" s="1052">
        <f>'1-ABA-DE-CARREGAMENTO'!N57</f>
        <v>0</v>
      </c>
      <c r="G80" s="1051" t="s">
        <v>403</v>
      </c>
      <c r="H80" s="1053">
        <f>'1-ABA-DE-CARREGAMENTO'!N58</f>
        <v>1</v>
      </c>
      <c r="I80" s="799">
        <f>ROUND((F80*H80),6)</f>
        <v>0</v>
      </c>
      <c r="J80" s="796">
        <f>ROUND((J58+J72)*I80,2)</f>
        <v>0</v>
      </c>
      <c r="K80" s="1049"/>
    </row>
    <row r="81" spans="1:11" ht="16.5" customHeight="1">
      <c r="A81" s="1031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0</v>
      </c>
      <c r="K81" s="1049"/>
    </row>
    <row r="82" spans="1:11" ht="16.5" customHeight="1">
      <c r="A82" s="1031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0</v>
      </c>
      <c r="K82" s="1049"/>
    </row>
    <row r="83" spans="1:11" ht="16.5" customHeight="1">
      <c r="A83" s="1031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0</v>
      </c>
      <c r="K83" s="1049"/>
    </row>
    <row r="84" spans="1:11" ht="16.5" customHeight="1">
      <c r="A84" s="1031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0</v>
      </c>
      <c r="K84" s="1049"/>
    </row>
    <row r="85" spans="1:11" ht="28.5" customHeight="1">
      <c r="A85" s="1031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0</v>
      </c>
      <c r="K85" s="1049"/>
    </row>
    <row r="86" spans="1:11" ht="12" customHeight="1">
      <c r="A86" s="1031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0">SUM(I78:I85)</f>
        <v>0.33800000000000002</v>
      </c>
      <c r="J86" s="788">
        <f t="shared" si="0"/>
        <v>0</v>
      </c>
      <c r="K86" s="1049"/>
    </row>
    <row r="87" spans="1:11" ht="12" customHeight="1">
      <c r="A87" s="1031"/>
      <c r="B87" s="801"/>
      <c r="C87" s="802"/>
      <c r="D87" s="802"/>
      <c r="E87" s="802"/>
      <c r="F87" s="802"/>
      <c r="G87" s="802"/>
      <c r="H87" s="802"/>
      <c r="I87" s="803"/>
      <c r="J87" s="804"/>
      <c r="K87" s="1049"/>
    </row>
    <row r="88" spans="1:11" ht="36" customHeight="1">
      <c r="A88" s="1031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</row>
    <row r="89" spans="1:11" ht="18.75" customHeight="1">
      <c r="A89" s="1031"/>
      <c r="B89" s="1618"/>
      <c r="C89" s="1477"/>
      <c r="D89" s="1477"/>
      <c r="E89" s="1477"/>
      <c r="F89" s="1477"/>
      <c r="G89" s="1477"/>
      <c r="H89" s="1477"/>
      <c r="I89" s="1477"/>
      <c r="J89" s="1478"/>
      <c r="K89" s="459"/>
    </row>
    <row r="90" spans="1:11" ht="15" customHeight="1">
      <c r="A90" s="1031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931"/>
    </row>
    <row r="91" spans="1:11" ht="15" customHeight="1">
      <c r="A91" s="1031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</row>
    <row r="92" spans="1:11" ht="15" customHeight="1">
      <c r="A92" s="1031"/>
      <c r="B92" s="743" t="s">
        <v>312</v>
      </c>
      <c r="C92" s="1577" t="s">
        <v>1485</v>
      </c>
      <c r="D92" s="1477"/>
      <c r="E92" s="1477"/>
      <c r="F92" s="1477"/>
      <c r="G92" s="1477"/>
      <c r="H92" s="1478"/>
      <c r="I92" s="807">
        <f>J47</f>
        <v>0</v>
      </c>
      <c r="J92" s="808">
        <f>IF(ROUND((I93*I95*I94)-(J47*I96),2)&lt;0,0,ROUND((I93*I95*I94)-(J47*I96),2))</f>
        <v>0</v>
      </c>
      <c r="K92" s="1049"/>
    </row>
    <row r="93" spans="1:11" ht="28.5" customHeight="1">
      <c r="A93" s="1031"/>
      <c r="B93" s="743" t="s">
        <v>314</v>
      </c>
      <c r="C93" s="1577" t="s">
        <v>1486</v>
      </c>
      <c r="D93" s="1477"/>
      <c r="E93" s="1477"/>
      <c r="F93" s="1477"/>
      <c r="G93" s="1477"/>
      <c r="H93" s="1477"/>
      <c r="I93" s="809">
        <f>'1-ABA-DE-CARREGAMENTO'!N72</f>
        <v>6.82</v>
      </c>
      <c r="J93" s="810" t="s">
        <v>325</v>
      </c>
      <c r="K93" s="1046"/>
    </row>
    <row r="94" spans="1:11" ht="24" customHeight="1">
      <c r="A94" s="1031"/>
      <c r="B94" s="743" t="s">
        <v>316</v>
      </c>
      <c r="C94" s="1577" t="s">
        <v>1487</v>
      </c>
      <c r="D94" s="1477"/>
      <c r="E94" s="1477"/>
      <c r="F94" s="1477"/>
      <c r="G94" s="1477"/>
      <c r="H94" s="1478"/>
      <c r="I94" s="811">
        <f>'1-ABA-DE-CARREGAMENTO'!N73</f>
        <v>2</v>
      </c>
      <c r="J94" s="810" t="s">
        <v>325</v>
      </c>
      <c r="K94" s="1046"/>
    </row>
    <row r="95" spans="1:11" ht="19.5" customHeight="1">
      <c r="A95" s="1031"/>
      <c r="B95" s="743" t="s">
        <v>318</v>
      </c>
      <c r="C95" s="1560" t="s">
        <v>415</v>
      </c>
      <c r="D95" s="1477"/>
      <c r="E95" s="1477"/>
      <c r="F95" s="1477"/>
      <c r="G95" s="1477"/>
      <c r="H95" s="1478"/>
      <c r="I95" s="811">
        <f>'1-ABA-DE-CARREGAMENTO'!N74</f>
        <v>0</v>
      </c>
      <c r="J95" s="810" t="s">
        <v>325</v>
      </c>
      <c r="K95" s="1046"/>
    </row>
    <row r="96" spans="1:11" ht="24.75" customHeight="1">
      <c r="A96" s="1031"/>
      <c r="B96" s="743" t="s">
        <v>360</v>
      </c>
      <c r="C96" s="1560" t="s">
        <v>1488</v>
      </c>
      <c r="D96" s="1477"/>
      <c r="E96" s="1477"/>
      <c r="F96" s="1477"/>
      <c r="G96" s="1477"/>
      <c r="H96" s="1478"/>
      <c r="I96" s="1412">
        <v>0</v>
      </c>
      <c r="J96" s="815" t="s">
        <v>325</v>
      </c>
      <c r="K96" s="1046"/>
    </row>
    <row r="97" spans="1:11" ht="15" customHeight="1">
      <c r="A97" s="1031"/>
      <c r="B97" s="743" t="s">
        <v>364</v>
      </c>
      <c r="C97" s="1577" t="s">
        <v>1489</v>
      </c>
      <c r="D97" s="1477"/>
      <c r="E97" s="1477"/>
      <c r="F97" s="1477"/>
      <c r="G97" s="1477"/>
      <c r="H97" s="1477"/>
      <c r="I97" s="1477"/>
      <c r="J97" s="808">
        <f>ROUND(I98*I99,2)-ROUND((I98*I99)*I100,2)</f>
        <v>0</v>
      </c>
      <c r="K97" s="1049"/>
    </row>
    <row r="98" spans="1:11" ht="15" customHeight="1">
      <c r="A98" s="1031"/>
      <c r="B98" s="743" t="s">
        <v>366</v>
      </c>
      <c r="C98" s="1577" t="s">
        <v>1490</v>
      </c>
      <c r="D98" s="1477"/>
      <c r="E98" s="1477"/>
      <c r="F98" s="1477"/>
      <c r="G98" s="1477"/>
      <c r="H98" s="1477"/>
      <c r="I98" s="809">
        <v>0</v>
      </c>
      <c r="J98" s="817"/>
      <c r="K98" s="1046"/>
    </row>
    <row r="99" spans="1:11" ht="15" customHeight="1">
      <c r="A99" s="1031"/>
      <c r="B99" s="743" t="s">
        <v>368</v>
      </c>
      <c r="C99" s="1577" t="s">
        <v>1491</v>
      </c>
      <c r="D99" s="1477"/>
      <c r="E99" s="1477"/>
      <c r="F99" s="1477"/>
      <c r="G99" s="1477"/>
      <c r="H99" s="1477"/>
      <c r="I99" s="811">
        <f>'1-ABA-DE-CARREGAMENTO'!N62</f>
        <v>20.5</v>
      </c>
      <c r="J99" s="817"/>
      <c r="K99" s="1046"/>
    </row>
    <row r="100" spans="1:11" ht="30" customHeight="1">
      <c r="A100" s="1031"/>
      <c r="B100" s="743" t="s">
        <v>372</v>
      </c>
      <c r="C100" s="1665" t="s">
        <v>1492</v>
      </c>
      <c r="D100" s="1477"/>
      <c r="E100" s="1477"/>
      <c r="F100" s="1477"/>
      <c r="G100" s="1477"/>
      <c r="H100" s="1478"/>
      <c r="I100" s="1412">
        <f>'1-ABA-DE-CARREGAMENTO'!N61</f>
        <v>31.69</v>
      </c>
      <c r="J100" s="1087"/>
      <c r="K100" s="1046"/>
    </row>
    <row r="101" spans="1:11" ht="15" customHeight="1">
      <c r="A101" s="1031"/>
      <c r="B101" s="743" t="s">
        <v>376</v>
      </c>
      <c r="C101" s="1577" t="s">
        <v>1207</v>
      </c>
      <c r="D101" s="1477"/>
      <c r="E101" s="1477"/>
      <c r="F101" s="1477"/>
      <c r="G101" s="1477"/>
      <c r="H101" s="1477"/>
      <c r="I101" s="1477"/>
      <c r="J101" s="796">
        <v>0</v>
      </c>
      <c r="K101" s="1049"/>
    </row>
    <row r="102" spans="1:11" ht="36.75" customHeight="1">
      <c r="A102" s="1031"/>
      <c r="B102" s="743" t="s">
        <v>379</v>
      </c>
      <c r="C102" s="1577" t="s">
        <v>1493</v>
      </c>
      <c r="D102" s="1477"/>
      <c r="E102" s="1477"/>
      <c r="F102" s="1477"/>
      <c r="G102" s="1477"/>
      <c r="H102" s="1477"/>
      <c r="I102" s="1477"/>
      <c r="J102" s="796">
        <v>0</v>
      </c>
      <c r="K102" s="1049"/>
    </row>
    <row r="103" spans="1:11" ht="36.75" customHeight="1">
      <c r="A103" s="1031"/>
      <c r="B103" s="743" t="s">
        <v>423</v>
      </c>
      <c r="C103" s="1577" t="s">
        <v>1494</v>
      </c>
      <c r="D103" s="1477"/>
      <c r="E103" s="1477"/>
      <c r="F103" s="1477"/>
      <c r="G103" s="1477"/>
      <c r="H103" s="1477"/>
      <c r="I103" s="1478"/>
      <c r="J103" s="796">
        <v>0</v>
      </c>
      <c r="K103" s="1049"/>
    </row>
    <row r="104" spans="1:11" ht="16.5" customHeight="1">
      <c r="A104" s="1031"/>
      <c r="B104" s="743" t="s">
        <v>425</v>
      </c>
      <c r="C104" s="1577" t="s">
        <v>1071</v>
      </c>
      <c r="D104" s="1477"/>
      <c r="E104" s="1477"/>
      <c r="F104" s="1477"/>
      <c r="G104" s="1477"/>
      <c r="H104" s="1477"/>
      <c r="I104" s="1478"/>
      <c r="J104" s="796">
        <v>0</v>
      </c>
      <c r="K104" s="1049"/>
    </row>
    <row r="105" spans="1:11" ht="17.25" customHeight="1">
      <c r="A105" s="1031"/>
      <c r="B105" s="743" t="s">
        <v>53</v>
      </c>
      <c r="C105" s="1589" t="s">
        <v>468</v>
      </c>
      <c r="D105" s="1477"/>
      <c r="E105" s="1477"/>
      <c r="F105" s="1477"/>
      <c r="G105" s="1477"/>
      <c r="H105" s="1477"/>
      <c r="I105" s="1477"/>
      <c r="J105" s="881">
        <v>0</v>
      </c>
      <c r="K105" s="789"/>
    </row>
    <row r="106" spans="1:11" ht="21.75" customHeight="1">
      <c r="A106" s="1031"/>
      <c r="B106" s="823"/>
      <c r="C106" s="1585" t="s">
        <v>393</v>
      </c>
      <c r="D106" s="1477"/>
      <c r="E106" s="1477"/>
      <c r="F106" s="1477"/>
      <c r="G106" s="1477"/>
      <c r="H106" s="1477"/>
      <c r="I106" s="1521"/>
      <c r="J106" s="788">
        <f>SUM(J92:J105)</f>
        <v>0</v>
      </c>
      <c r="K106" s="1049"/>
    </row>
    <row r="107" spans="1:11" ht="9.75" customHeight="1">
      <c r="A107" s="1031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459"/>
    </row>
    <row r="108" spans="1:11" ht="33" customHeight="1">
      <c r="A108" s="1031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</row>
    <row r="109" spans="1:11" ht="7.5" customHeight="1">
      <c r="A109" s="1031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</row>
    <row r="110" spans="1:11" ht="19.5" customHeight="1">
      <c r="A110" s="1031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</row>
    <row r="111" spans="1:11" ht="19.5" customHeight="1">
      <c r="A111" s="1031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793" t="s">
        <v>390</v>
      </c>
      <c r="K111" s="783"/>
    </row>
    <row r="112" spans="1:11" ht="19.5" customHeight="1">
      <c r="A112" s="1031"/>
      <c r="B112" s="733" t="s">
        <v>388</v>
      </c>
      <c r="C112" s="1656" t="s">
        <v>1495</v>
      </c>
      <c r="D112" s="1477"/>
      <c r="E112" s="1477"/>
      <c r="F112" s="1477"/>
      <c r="G112" s="1477"/>
      <c r="H112" s="1477"/>
      <c r="I112" s="1478"/>
      <c r="J112" s="824">
        <f>J72</f>
        <v>0</v>
      </c>
      <c r="K112" s="825"/>
    </row>
    <row r="113" spans="1:11" ht="19.5" customHeight="1">
      <c r="A113" s="1031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0</v>
      </c>
      <c r="K113" s="825"/>
    </row>
    <row r="114" spans="1:11" ht="19.5" customHeight="1">
      <c r="A114" s="1031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0</v>
      </c>
      <c r="K114" s="825"/>
    </row>
    <row r="115" spans="1:11" ht="14.25" customHeight="1">
      <c r="A115" s="1031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0</v>
      </c>
      <c r="K115" s="825"/>
    </row>
    <row r="116" spans="1:11" ht="14.25" customHeight="1">
      <c r="A116" s="1031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</row>
    <row r="117" spans="1:11" ht="18.75" customHeight="1">
      <c r="A117" s="1031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1054"/>
    </row>
    <row r="118" spans="1:11" ht="15.75" customHeight="1">
      <c r="A118" s="1031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805" t="s">
        <v>390</v>
      </c>
      <c r="K118" s="1055"/>
    </row>
    <row r="119" spans="1:11" ht="40.5" customHeight="1">
      <c r="A119" s="1031"/>
      <c r="B119" s="743" t="s">
        <v>312</v>
      </c>
      <c r="C119" s="1577" t="s">
        <v>1496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0</v>
      </c>
      <c r="K119" s="1049"/>
    </row>
    <row r="120" spans="1:11" ht="15.75" customHeight="1">
      <c r="A120" s="1031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0</v>
      </c>
      <c r="K120" s="1049"/>
    </row>
    <row r="121" spans="1:11" ht="28.5" customHeight="1">
      <c r="A121" s="1031"/>
      <c r="B121" s="743" t="s">
        <v>316</v>
      </c>
      <c r="C121" s="1577" t="s">
        <v>1497</v>
      </c>
      <c r="D121" s="1477"/>
      <c r="E121" s="1477"/>
      <c r="F121" s="1477"/>
      <c r="G121" s="1477"/>
      <c r="H121" s="1477"/>
      <c r="I121" s="1478"/>
      <c r="J121" s="796">
        <f>ROUND(((7/30)/$I$11)*$J$58*1,2)</f>
        <v>0</v>
      </c>
      <c r="K121" s="1049"/>
    </row>
    <row r="122" spans="1:11" ht="18.75" customHeight="1">
      <c r="A122" s="1031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0</v>
      </c>
      <c r="K122" s="1049"/>
    </row>
    <row r="123" spans="1:11" ht="32.25" customHeight="1">
      <c r="A123" s="1031"/>
      <c r="B123" s="743" t="s">
        <v>360</v>
      </c>
      <c r="C123" s="1577" t="s">
        <v>1498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0</v>
      </c>
      <c r="K123" s="1049"/>
    </row>
    <row r="124" spans="1:11" ht="9.75" customHeight="1">
      <c r="A124" s="1031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0</v>
      </c>
      <c r="K124" s="1049"/>
    </row>
    <row r="125" spans="1:11" ht="15.75" customHeight="1">
      <c r="A125" s="1031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1056"/>
    </row>
    <row r="126" spans="1:11" ht="17.25" customHeight="1">
      <c r="A126" s="1031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</row>
    <row r="127" spans="1:11" ht="30" customHeight="1">
      <c r="A127" s="1031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</row>
    <row r="128" spans="1:11" ht="58.5" customHeight="1">
      <c r="A128" s="1031"/>
      <c r="B128" s="1663" t="s">
        <v>1499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</row>
    <row r="129" spans="1:11" ht="36.75" customHeight="1">
      <c r="A129" s="1031"/>
      <c r="B129" s="832" t="s">
        <v>445</v>
      </c>
      <c r="C129" s="833">
        <f>J58</f>
        <v>0</v>
      </c>
      <c r="D129" s="834" t="s">
        <v>446</v>
      </c>
      <c r="E129" s="832" t="s">
        <v>1500</v>
      </c>
      <c r="F129" s="833">
        <f>J115-J92-J97</f>
        <v>0</v>
      </c>
      <c r="G129" s="834" t="s">
        <v>446</v>
      </c>
      <c r="H129" s="832" t="s">
        <v>448</v>
      </c>
      <c r="I129" s="833">
        <f>J124</f>
        <v>0</v>
      </c>
      <c r="J129" s="835">
        <f>C129+F129+I129</f>
        <v>0</v>
      </c>
      <c r="K129" s="836"/>
    </row>
    <row r="130" spans="1:11" ht="14.25" customHeight="1">
      <c r="A130" s="1031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</row>
    <row r="131" spans="1:11" ht="15.75" customHeight="1">
      <c r="A131" s="1031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</row>
    <row r="132" spans="1:11" ht="17.25" customHeight="1">
      <c r="A132" s="1031"/>
      <c r="B132" s="1057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57" t="s">
        <v>390</v>
      </c>
      <c r="K132" s="1058"/>
    </row>
    <row r="133" spans="1:11" ht="45.75" customHeight="1">
      <c r="A133" s="1031"/>
      <c r="B133" s="743" t="s">
        <v>312</v>
      </c>
      <c r="C133" s="1656" t="s">
        <v>1501</v>
      </c>
      <c r="D133" s="1477"/>
      <c r="E133" s="1477"/>
      <c r="F133" s="1477"/>
      <c r="G133" s="1477"/>
      <c r="H133" s="840">
        <v>9.0749999999999997E-2</v>
      </c>
      <c r="I133" s="1004">
        <f>I86</f>
        <v>0.33800000000000002</v>
      </c>
      <c r="J133" s="796">
        <f>ROUND(H133*J58,2)*(1+I133)</f>
        <v>0</v>
      </c>
      <c r="K133" s="1049"/>
    </row>
    <row r="134" spans="1:11" ht="17.25" customHeight="1">
      <c r="A134" s="1031"/>
      <c r="B134" s="743" t="s">
        <v>314</v>
      </c>
      <c r="C134" s="1577" t="s">
        <v>1502</v>
      </c>
      <c r="D134" s="1477"/>
      <c r="E134" s="1477"/>
      <c r="F134" s="1477"/>
      <c r="G134" s="1477"/>
      <c r="H134" s="1477"/>
      <c r="I134" s="1478"/>
      <c r="J134" s="796">
        <f>ROUND((1/30)/12*(J129),2)</f>
        <v>0</v>
      </c>
      <c r="K134" s="1049"/>
    </row>
    <row r="135" spans="1:11" ht="29.25" customHeight="1">
      <c r="A135" s="1031"/>
      <c r="B135" s="743" t="s">
        <v>316</v>
      </c>
      <c r="C135" s="1577" t="s">
        <v>1503</v>
      </c>
      <c r="D135" s="1477"/>
      <c r="E135" s="1477"/>
      <c r="F135" s="1477"/>
      <c r="G135" s="1477"/>
      <c r="H135" s="1477"/>
      <c r="I135" s="1478"/>
      <c r="J135" s="796">
        <f>ROUND((5/30)/12*0.015*(J129),2)</f>
        <v>0</v>
      </c>
      <c r="K135" s="1049"/>
    </row>
    <row r="136" spans="1:11" ht="28.5" customHeight="1">
      <c r="A136" s="1031"/>
      <c r="B136" s="743" t="s">
        <v>318</v>
      </c>
      <c r="C136" s="1577" t="s">
        <v>1504</v>
      </c>
      <c r="D136" s="1477"/>
      <c r="E136" s="1477"/>
      <c r="F136" s="1477"/>
      <c r="G136" s="1477"/>
      <c r="H136" s="1477"/>
      <c r="I136" s="1478"/>
      <c r="J136" s="796">
        <f>ROUND(((15/30)/12)*0.0078*(J129),2)</f>
        <v>0</v>
      </c>
      <c r="K136" s="1049"/>
    </row>
    <row r="137" spans="1:11" ht="30.75" customHeight="1">
      <c r="A137" s="1031"/>
      <c r="B137" s="843" t="s">
        <v>360</v>
      </c>
      <c r="C137" s="1676" t="s">
        <v>1505</v>
      </c>
      <c r="D137" s="1477"/>
      <c r="E137" s="1477"/>
      <c r="F137" s="1477"/>
      <c r="G137" s="1477"/>
      <c r="H137" s="1477"/>
      <c r="I137" s="1478"/>
      <c r="J137" s="1280">
        <f>ROUND(((((C129+C129/3)+(I86)*(C129+C129/3))*(4/12))/12)*0.02,2) + ((J106 -J92-J97+ J124)*4/12)*0.02</f>
        <v>0</v>
      </c>
      <c r="K137" s="1059"/>
    </row>
    <row r="138" spans="1:11" ht="38.25" customHeight="1">
      <c r="A138" s="1031"/>
      <c r="B138" s="743" t="s">
        <v>364</v>
      </c>
      <c r="C138" s="1577" t="s">
        <v>1506</v>
      </c>
      <c r="D138" s="1477"/>
      <c r="E138" s="1477"/>
      <c r="F138" s="1477"/>
      <c r="G138" s="1477"/>
      <c r="H138" s="1477"/>
      <c r="I138" s="1478"/>
      <c r="J138" s="796">
        <f>ROUND(((3/30)/12)*(J129),2)</f>
        <v>0</v>
      </c>
      <c r="K138" s="1049"/>
    </row>
    <row r="139" spans="1:11" ht="19.5" customHeight="1">
      <c r="A139" s="1031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0</v>
      </c>
      <c r="K139" s="1049"/>
    </row>
    <row r="140" spans="1:11" ht="12.75" customHeight="1">
      <c r="A140" s="1031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1056"/>
    </row>
    <row r="141" spans="1:11" ht="19.5" customHeight="1">
      <c r="A141" s="1031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931"/>
    </row>
    <row r="142" spans="1:11" ht="19.5" customHeight="1">
      <c r="A142" s="1031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1060"/>
    </row>
    <row r="143" spans="1:11" ht="19.5" customHeight="1">
      <c r="A143" s="1031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1061"/>
    </row>
    <row r="144" spans="1:11" ht="19.5" customHeight="1">
      <c r="A144" s="1031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1061"/>
    </row>
    <row r="145" spans="1:11" ht="12" customHeight="1">
      <c r="A145" s="1031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1062"/>
    </row>
    <row r="146" spans="1:11" ht="19.5" customHeight="1">
      <c r="A146" s="1031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1048"/>
    </row>
    <row r="147" spans="1:11" ht="19.5" customHeight="1">
      <c r="A147" s="1031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1060"/>
    </row>
    <row r="148" spans="1:11" ht="15.75" customHeight="1">
      <c r="A148" s="1031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0</v>
      </c>
      <c r="K148" s="1061"/>
    </row>
    <row r="149" spans="1:11" ht="16.5" customHeight="1">
      <c r="A149" s="1031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1061"/>
    </row>
    <row r="150" spans="1:11" ht="24" customHeight="1">
      <c r="A150" s="1031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0</v>
      </c>
      <c r="K150" s="1061"/>
    </row>
    <row r="151" spans="1:11" ht="11.25" customHeight="1">
      <c r="A151" s="1031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1062"/>
    </row>
    <row r="152" spans="1:11" ht="15.75" customHeight="1">
      <c r="A152" s="1031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</row>
    <row r="153" spans="1:11" ht="15.75" customHeight="1">
      <c r="A153" s="1031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805" t="s">
        <v>390</v>
      </c>
      <c r="K153" s="1055"/>
    </row>
    <row r="154" spans="1:11" ht="20.25" customHeight="1">
      <c r="A154" s="1031"/>
      <c r="B154" s="743" t="s">
        <v>312</v>
      </c>
      <c r="C154" s="1577" t="s">
        <v>296</v>
      </c>
      <c r="D154" s="1477"/>
      <c r="E154" s="1477"/>
      <c r="F154" s="1477"/>
      <c r="G154" s="1477"/>
      <c r="H154" s="1477"/>
      <c r="I154" s="1478"/>
      <c r="J154" s="796">
        <v>0</v>
      </c>
      <c r="K154" s="1049"/>
    </row>
    <row r="155" spans="1:11" ht="15.75" customHeight="1">
      <c r="A155" s="1031"/>
      <c r="B155" s="743" t="s">
        <v>314</v>
      </c>
      <c r="C155" s="1577" t="s">
        <v>639</v>
      </c>
      <c r="D155" s="1477"/>
      <c r="E155" s="1477"/>
      <c r="F155" s="1477"/>
      <c r="G155" s="1477"/>
      <c r="H155" s="1477"/>
      <c r="I155" s="1478"/>
      <c r="J155" s="881">
        <v>0</v>
      </c>
      <c r="K155" s="789"/>
    </row>
    <row r="156" spans="1:11" ht="15.75" customHeight="1">
      <c r="A156" s="1031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81" t="s">
        <v>640</v>
      </c>
      <c r="K156" s="789"/>
    </row>
    <row r="157" spans="1:11" ht="19.5" customHeight="1">
      <c r="A157" s="1031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0</v>
      </c>
      <c r="K157" s="789"/>
    </row>
    <row r="158" spans="1:11" ht="9" customHeight="1">
      <c r="A158" s="1031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1063"/>
    </row>
    <row r="159" spans="1:11" ht="27.75" customHeight="1">
      <c r="A159" s="1031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52"/>
    </row>
    <row r="160" spans="1:11" ht="11.25" customHeight="1">
      <c r="A160" s="1031"/>
      <c r="B160" s="859"/>
      <c r="C160" s="860"/>
      <c r="D160" s="860"/>
      <c r="E160" s="860"/>
      <c r="F160" s="860"/>
      <c r="G160" s="860"/>
      <c r="H160" s="860"/>
      <c r="I160" s="860"/>
      <c r="J160" s="861"/>
      <c r="K160" s="315"/>
    </row>
    <row r="161" spans="1:11" ht="24" customHeight="1">
      <c r="A161" s="1031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1054"/>
    </row>
    <row r="162" spans="1:11" ht="24" customHeight="1">
      <c r="A162" s="1031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</row>
    <row r="163" spans="1:11" ht="56.25" customHeight="1">
      <c r="A163" s="1031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866">
        <f>SUM(J63+J115+J124+J150+J157)</f>
        <v>0</v>
      </c>
      <c r="K163" s="1064"/>
    </row>
    <row r="164" spans="1:11" ht="23.25" customHeight="1">
      <c r="A164" s="1031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'1-ABA-DE-CARREGAMENTO'!N85</f>
        <v>0.06</v>
      </c>
      <c r="J164" s="796">
        <f>ROUND(I164*J163,2)</f>
        <v>0</v>
      </c>
      <c r="K164" s="1049"/>
    </row>
    <row r="165" spans="1:11" ht="50.25" customHeight="1">
      <c r="A165" s="1031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866">
        <f>SUM(J63+J115+J124+J150+J157+J164)</f>
        <v>0</v>
      </c>
      <c r="K165" s="1064"/>
    </row>
    <row r="166" spans="1:11" ht="19.5" customHeight="1">
      <c r="A166" s="1031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'1-ABA-DE-CARREGAMENTO'!N86</f>
        <v>0.06</v>
      </c>
      <c r="J166" s="796">
        <f>ROUND(I166*J165,2)</f>
        <v>0</v>
      </c>
      <c r="K166" s="1049"/>
    </row>
    <row r="167" spans="1:11" ht="51.75" customHeight="1">
      <c r="A167" s="1031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866">
        <f>SUM(J163+J164+J166)</f>
        <v>0</v>
      </c>
      <c r="K167" s="1064"/>
    </row>
    <row r="168" spans="1:11" ht="18.75" customHeight="1">
      <c r="A168" s="1031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769" t="s">
        <v>325</v>
      </c>
      <c r="K168" s="1046"/>
    </row>
    <row r="169" spans="1:11" ht="18" customHeight="1">
      <c r="A169" s="1031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769" t="s">
        <v>325</v>
      </c>
      <c r="K169" s="1046"/>
    </row>
    <row r="170" spans="1:11" ht="21" customHeight="1">
      <c r="A170" s="1031"/>
      <c r="B170" s="743"/>
      <c r="C170" s="1590" t="s">
        <v>1507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281">
        <f t="shared" ref="J170:J171" si="1">ROUND(($J$167/(1-$I$179))*I170,2)</f>
        <v>0</v>
      </c>
      <c r="K170" s="1065"/>
    </row>
    <row r="171" spans="1:11" ht="21" customHeight="1">
      <c r="A171" s="1031"/>
      <c r="B171" s="743"/>
      <c r="C171" s="1590" t="s">
        <v>1508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281">
        <f t="shared" si="1"/>
        <v>0</v>
      </c>
      <c r="K171" s="1065"/>
    </row>
    <row r="172" spans="1:11" ht="24" customHeight="1">
      <c r="A172" s="1031"/>
      <c r="B172" s="743"/>
      <c r="C172" s="1577" t="s">
        <v>1509</v>
      </c>
      <c r="D172" s="1477"/>
      <c r="E172" s="1477"/>
      <c r="F172" s="1477"/>
      <c r="G172" s="1477"/>
      <c r="H172" s="1478"/>
      <c r="I172" s="872" t="s">
        <v>325</v>
      </c>
      <c r="J172" s="769" t="s">
        <v>325</v>
      </c>
      <c r="K172" s="1046"/>
    </row>
    <row r="173" spans="1:11" ht="24" customHeight="1">
      <c r="A173" s="1031"/>
      <c r="B173" s="743"/>
      <c r="C173" s="1577" t="s">
        <v>1510</v>
      </c>
      <c r="D173" s="1477"/>
      <c r="E173" s="1477"/>
      <c r="F173" s="1477"/>
      <c r="G173" s="1477"/>
      <c r="H173" s="1478"/>
      <c r="I173" s="872" t="s">
        <v>325</v>
      </c>
      <c r="J173" s="769" t="s">
        <v>325</v>
      </c>
      <c r="K173" s="1046"/>
    </row>
    <row r="174" spans="1:11" ht="15.75" customHeight="1">
      <c r="A174" s="1031"/>
      <c r="B174" s="743"/>
      <c r="C174" s="1577" t="s">
        <v>483</v>
      </c>
      <c r="D174" s="1477"/>
      <c r="E174" s="1477"/>
      <c r="F174" s="1477"/>
      <c r="G174" s="1477"/>
      <c r="H174" s="1477"/>
      <c r="I174" s="1066" t="s">
        <v>325</v>
      </c>
      <c r="J174" s="1282" t="s">
        <v>325</v>
      </c>
      <c r="K174" s="1067"/>
    </row>
    <row r="175" spans="1:11" ht="15.75" customHeight="1">
      <c r="A175" s="1031"/>
      <c r="B175" s="743"/>
      <c r="C175" s="1577" t="s">
        <v>484</v>
      </c>
      <c r="D175" s="1477"/>
      <c r="E175" s="1477"/>
      <c r="F175" s="1477"/>
      <c r="G175" s="1477"/>
      <c r="H175" s="1477"/>
      <c r="I175" s="1066" t="s">
        <v>325</v>
      </c>
      <c r="J175" s="1282" t="s">
        <v>325</v>
      </c>
      <c r="K175" s="1067"/>
    </row>
    <row r="176" spans="1:11" ht="15.75" customHeight="1">
      <c r="A176" s="1031"/>
      <c r="B176" s="743"/>
      <c r="C176" s="1577" t="s">
        <v>1511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281">
        <f>ROUND(($J$167/(1-$I$179))*I176,2)</f>
        <v>0</v>
      </c>
      <c r="K176" s="1065"/>
    </row>
    <row r="177" spans="1:11" ht="15.75" customHeight="1">
      <c r="A177" s="1031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788">
        <f>SUM(J164+J166+J170+J171+J176)</f>
        <v>0</v>
      </c>
      <c r="K177" s="1049"/>
    </row>
    <row r="178" spans="1:11" ht="9" customHeight="1">
      <c r="A178" s="1031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1056"/>
    </row>
    <row r="179" spans="1:11" ht="15.75" customHeight="1">
      <c r="A179" s="1031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2">SUM(I170:I176)</f>
        <v>0.1125</v>
      </c>
      <c r="J179" s="866">
        <f t="shared" si="2"/>
        <v>0</v>
      </c>
      <c r="K179" s="1064"/>
    </row>
    <row r="180" spans="1:11" ht="15.75" customHeight="1">
      <c r="A180" s="1031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5"/>
    </row>
    <row r="181" spans="1:11" ht="15.75" customHeight="1">
      <c r="A181" s="1031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7"/>
    </row>
    <row r="182" spans="1:11" ht="15.75" customHeight="1">
      <c r="A182" s="1031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5"/>
    </row>
    <row r="183" spans="1:11" ht="9" customHeight="1">
      <c r="A183" s="1031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1068"/>
    </row>
    <row r="184" spans="1:11" ht="30" customHeight="1">
      <c r="A184" s="1031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</row>
    <row r="185" spans="1:11" ht="9.75" customHeight="1">
      <c r="A185" s="1031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1056"/>
    </row>
    <row r="186" spans="1:11" ht="15.75" customHeight="1">
      <c r="A186" s="1031"/>
      <c r="B186" s="1674" t="s">
        <v>1512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</row>
    <row r="187" spans="1:11" ht="15.75" customHeight="1">
      <c r="A187" s="1031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863" t="s">
        <v>390</v>
      </c>
      <c r="K187" s="697"/>
    </row>
    <row r="188" spans="1:11" ht="15.75" customHeight="1">
      <c r="A188" s="1031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0</v>
      </c>
      <c r="K188" s="789"/>
    </row>
    <row r="189" spans="1:11" ht="15.75" customHeight="1">
      <c r="A189" s="1031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0</v>
      </c>
      <c r="K189" s="789"/>
    </row>
    <row r="190" spans="1:11" ht="15.75" customHeight="1">
      <c r="A190" s="1031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0</v>
      </c>
      <c r="K190" s="789"/>
    </row>
    <row r="191" spans="1:11" ht="15.75" customHeight="1">
      <c r="A191" s="1031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0</v>
      </c>
      <c r="K191" s="789"/>
    </row>
    <row r="192" spans="1:11" ht="15.75" customHeight="1">
      <c r="A192" s="1031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0</v>
      </c>
      <c r="K192" s="789"/>
    </row>
    <row r="193" spans="1:11" ht="15.75" customHeight="1">
      <c r="A193" s="1031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0</v>
      </c>
      <c r="K193" s="789"/>
    </row>
    <row r="194" spans="1:11" ht="15.75" customHeight="1">
      <c r="A194" s="1031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0</v>
      </c>
      <c r="K194" s="789"/>
    </row>
    <row r="195" spans="1:11" ht="15.75" customHeight="1">
      <c r="A195" s="1031"/>
      <c r="B195" s="1600" t="s">
        <v>647</v>
      </c>
      <c r="C195" s="1477"/>
      <c r="D195" s="1477"/>
      <c r="E195" s="1477"/>
      <c r="F195" s="1477"/>
      <c r="G195" s="1477"/>
      <c r="H195" s="1477"/>
      <c r="I195" s="1521"/>
      <c r="J195" s="857">
        <f>J193+J194</f>
        <v>0</v>
      </c>
      <c r="K195" s="789"/>
    </row>
    <row r="196" spans="1:11" ht="43.5" customHeight="1">
      <c r="A196" s="1031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</row>
    <row r="197" spans="1:11" ht="15.75" customHeight="1">
      <c r="A197" s="1031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</row>
    <row r="198" spans="1:11" ht="15.75" customHeight="1">
      <c r="A198" s="1031"/>
      <c r="B198" s="885"/>
      <c r="C198" s="723"/>
      <c r="D198" s="723"/>
      <c r="E198" s="723"/>
      <c r="F198" s="723"/>
      <c r="G198" s="723"/>
      <c r="H198" s="723"/>
      <c r="I198" s="1069"/>
      <c r="J198" s="1070"/>
      <c r="K198" s="1069"/>
    </row>
    <row r="199" spans="1:11" ht="15.75" customHeight="1">
      <c r="A199" s="1031"/>
      <c r="B199" s="1693" t="s">
        <v>1228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</row>
    <row r="200" spans="1:11" ht="40.5" customHeight="1">
      <c r="A200" s="1031"/>
      <c r="B200" s="1641" t="s">
        <v>503</v>
      </c>
      <c r="C200" s="1477"/>
      <c r="D200" s="1477"/>
      <c r="E200" s="1478"/>
      <c r="F200" s="1641" t="s">
        <v>648</v>
      </c>
      <c r="G200" s="1478"/>
      <c r="H200" s="863" t="s">
        <v>506</v>
      </c>
      <c r="I200" s="1641" t="s">
        <v>507</v>
      </c>
      <c r="J200" s="1478"/>
      <c r="K200" s="697"/>
    </row>
    <row r="201" spans="1:11" ht="32.25" hidden="1" customHeight="1" outlineLevel="1">
      <c r="A201" s="1031"/>
      <c r="B201" s="1577" t="s">
        <v>508</v>
      </c>
      <c r="C201" s="1477"/>
      <c r="D201" s="1477"/>
      <c r="E201" s="1478"/>
      <c r="F201" s="1694">
        <v>0</v>
      </c>
      <c r="G201" s="1478"/>
      <c r="H201" s="1413">
        <f t="shared" ref="H201:H202" si="3">E201*F201</f>
        <v>0</v>
      </c>
      <c r="I201" s="1694">
        <f t="shared" ref="I201:I203" si="4">F201*H201</f>
        <v>0</v>
      </c>
      <c r="J201" s="1478"/>
      <c r="K201" s="770"/>
    </row>
    <row r="202" spans="1:11" ht="32.25" hidden="1" customHeight="1" outlineLevel="1">
      <c r="A202" s="1031"/>
      <c r="B202" s="1577" t="s">
        <v>509</v>
      </c>
      <c r="C202" s="1477"/>
      <c r="D202" s="1477"/>
      <c r="E202" s="1478"/>
      <c r="F202" s="1694">
        <v>0</v>
      </c>
      <c r="G202" s="1478"/>
      <c r="H202" s="1413">
        <f t="shared" si="3"/>
        <v>0</v>
      </c>
      <c r="I202" s="1694">
        <f t="shared" si="4"/>
        <v>0</v>
      </c>
      <c r="J202" s="1478"/>
      <c r="K202" s="770"/>
    </row>
    <row r="203" spans="1:11" ht="32.25" customHeight="1" collapsed="1">
      <c r="A203" s="1031"/>
      <c r="B203" s="1609" t="str">
        <f>B3</f>
        <v>A NÃO TEM MAIS POSTOS-99</v>
      </c>
      <c r="C203" s="1477"/>
      <c r="D203" s="1477"/>
      <c r="E203" s="1478"/>
      <c r="F203" s="1696">
        <f>J195</f>
        <v>0</v>
      </c>
      <c r="G203" s="1478"/>
      <c r="H203" s="1413">
        <f>I17</f>
        <v>0</v>
      </c>
      <c r="I203" s="1694">
        <f t="shared" si="4"/>
        <v>0</v>
      </c>
      <c r="J203" s="1478"/>
      <c r="K203" s="770"/>
    </row>
    <row r="204" spans="1:11" ht="32.25" hidden="1" customHeight="1" outlineLevel="1">
      <c r="A204" s="1031"/>
      <c r="B204" s="1577" t="s">
        <v>511</v>
      </c>
      <c r="C204" s="1477"/>
      <c r="D204" s="1477"/>
      <c r="E204" s="1478"/>
      <c r="F204" s="1696">
        <v>0</v>
      </c>
      <c r="G204" s="1478"/>
      <c r="H204" s="1413">
        <f t="shared" ref="H204:I204" si="5">E204*G204</f>
        <v>0</v>
      </c>
      <c r="I204" s="1694">
        <f t="shared" si="5"/>
        <v>0</v>
      </c>
      <c r="J204" s="1478"/>
      <c r="K204" s="770"/>
    </row>
    <row r="205" spans="1:11" ht="32.25" hidden="1" customHeight="1" outlineLevel="1">
      <c r="A205" s="1031"/>
      <c r="B205" s="1577" t="s">
        <v>512</v>
      </c>
      <c r="C205" s="1477"/>
      <c r="D205" s="1477"/>
      <c r="E205" s="1478"/>
      <c r="F205" s="1696">
        <v>0</v>
      </c>
      <c r="G205" s="1478"/>
      <c r="H205" s="1413">
        <f t="shared" ref="H205:I205" si="6">E205*G205</f>
        <v>0</v>
      </c>
      <c r="I205" s="1694">
        <f t="shared" si="6"/>
        <v>0</v>
      </c>
      <c r="J205" s="1478"/>
      <c r="K205" s="770"/>
    </row>
    <row r="206" spans="1:11" ht="15.75" hidden="1" customHeight="1" outlineLevel="1">
      <c r="A206" s="1031"/>
      <c r="B206" s="1730" t="s">
        <v>1513</v>
      </c>
      <c r="C206" s="1477"/>
      <c r="D206" s="1477"/>
      <c r="E206" s="1478"/>
      <c r="F206" s="1694">
        <v>0</v>
      </c>
      <c r="G206" s="1478"/>
      <c r="H206" s="1413">
        <f t="shared" ref="H206:I206" si="7">E206*G206</f>
        <v>0</v>
      </c>
      <c r="I206" s="1694">
        <f t="shared" si="7"/>
        <v>0</v>
      </c>
      <c r="J206" s="1478"/>
      <c r="K206" s="770"/>
    </row>
    <row r="207" spans="1:11" ht="15.75" customHeight="1" collapsed="1">
      <c r="A207" s="1031"/>
      <c r="B207" s="1699" t="s">
        <v>514</v>
      </c>
      <c r="C207" s="1477"/>
      <c r="D207" s="1477"/>
      <c r="E207" s="1477"/>
      <c r="F207" s="1477"/>
      <c r="G207" s="1478"/>
      <c r="H207" s="1414">
        <f>SUM(H201:H206)</f>
        <v>0</v>
      </c>
      <c r="I207" s="1786">
        <f>SUM(I201:J206)</f>
        <v>0</v>
      </c>
      <c r="J207" s="1478"/>
      <c r="K207" s="1283"/>
    </row>
    <row r="208" spans="1:11" ht="9" customHeight="1">
      <c r="A208" s="1031"/>
      <c r="B208" s="1700"/>
      <c r="C208" s="1701"/>
      <c r="D208" s="1701"/>
      <c r="E208" s="1701"/>
      <c r="F208" s="1701"/>
      <c r="G208" s="1701"/>
      <c r="H208" s="1701"/>
      <c r="I208" s="1701"/>
      <c r="J208" s="1702"/>
      <c r="K208" s="1056"/>
    </row>
    <row r="209" spans="1:11" ht="15.75" customHeight="1">
      <c r="A209" s="1031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</row>
    <row r="210" spans="1:11" ht="9" customHeight="1">
      <c r="A210" s="1031"/>
      <c r="B210" s="1724"/>
      <c r="C210" s="1477"/>
      <c r="D210" s="1477"/>
      <c r="E210" s="1477"/>
      <c r="F210" s="1477"/>
      <c r="G210" s="1477"/>
      <c r="H210" s="1477"/>
      <c r="I210" s="1477"/>
      <c r="J210" s="1478"/>
      <c r="K210" s="1284"/>
    </row>
    <row r="211" spans="1:11" ht="15.75" customHeight="1">
      <c r="A211" s="1031"/>
      <c r="B211" s="1563" t="s">
        <v>516</v>
      </c>
      <c r="C211" s="1477"/>
      <c r="D211" s="1477"/>
      <c r="E211" s="1477"/>
      <c r="F211" s="1477"/>
      <c r="G211" s="1478"/>
      <c r="H211" s="1564">
        <f>$I$207</f>
        <v>0</v>
      </c>
      <c r="I211" s="1477"/>
      <c r="J211" s="1478"/>
      <c r="K211" s="901"/>
    </row>
    <row r="212" spans="1:11" ht="9" customHeight="1">
      <c r="A212" s="1031"/>
      <c r="B212" s="1725"/>
      <c r="C212" s="1528"/>
      <c r="D212" s="1528"/>
      <c r="E212" s="1528"/>
      <c r="F212" s="1528"/>
      <c r="G212" s="1528"/>
      <c r="H212" s="1528"/>
      <c r="I212" s="1528"/>
      <c r="J212" s="1566"/>
      <c r="K212" s="1285"/>
    </row>
    <row r="213" spans="1:11" ht="15.75" customHeight="1">
      <c r="A213" s="1031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</row>
    <row r="214" spans="1:11" ht="9" customHeight="1">
      <c r="A214" s="1031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</row>
    <row r="215" spans="1:11" ht="15.75" customHeight="1">
      <c r="A215" s="1031"/>
      <c r="B215" s="1563" t="s">
        <v>1514</v>
      </c>
      <c r="C215" s="1477"/>
      <c r="D215" s="1477"/>
      <c r="E215" s="1477"/>
      <c r="F215" s="1477"/>
      <c r="G215" s="1478"/>
      <c r="H215" s="1569">
        <f>ROUND(H211*H213,2)</f>
        <v>0</v>
      </c>
      <c r="I215" s="1477"/>
      <c r="J215" s="1478"/>
      <c r="K215" s="1286"/>
    </row>
    <row r="216" spans="1:11" ht="9" customHeight="1">
      <c r="A216" s="1031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</row>
    <row r="217" spans="1:11" ht="15.75" customHeight="1">
      <c r="A217" s="1031"/>
      <c r="B217" s="1031"/>
      <c r="C217" s="1031"/>
      <c r="D217" s="1031"/>
      <c r="E217" s="1031"/>
      <c r="F217" s="1031"/>
      <c r="G217" s="1031"/>
      <c r="H217" s="1031"/>
      <c r="I217" s="1031"/>
      <c r="J217" s="1031"/>
      <c r="K217" s="1031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0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969"/>
  <sheetViews>
    <sheetView view="pageBreakPreview" topLeftCell="K1" zoomScale="60" zoomScaleNormal="100" workbookViewId="0">
      <pane ySplit="6" topLeftCell="A7" activePane="bottomLeft" state="frozen"/>
      <selection pane="bottomLeft" activeCell="B8" sqref="B8"/>
    </sheetView>
  </sheetViews>
  <sheetFormatPr defaultColWidth="14.453125" defaultRowHeight="15" customHeight="1"/>
  <cols>
    <col min="1" max="1" width="4" customWidth="1"/>
    <col min="2" max="2" width="10.08984375" customWidth="1"/>
    <col min="3" max="3" width="19.26953125" customWidth="1"/>
    <col min="4" max="4" width="25.54296875" customWidth="1"/>
    <col min="5" max="5" width="20.26953125" customWidth="1"/>
    <col min="6" max="13" width="12.08984375" customWidth="1"/>
    <col min="14" max="14" width="13" customWidth="1"/>
    <col min="15" max="21" width="12.08984375" customWidth="1"/>
    <col min="22" max="22" width="20.26953125" customWidth="1"/>
    <col min="23" max="23" width="43.7265625" customWidth="1"/>
    <col min="24" max="24" width="28" customWidth="1"/>
    <col min="25" max="25" width="45.08984375" customWidth="1"/>
    <col min="26" max="26" width="12.7265625" customWidth="1"/>
    <col min="27" max="27" width="7.453125" customWidth="1"/>
    <col min="28" max="28" width="34.7265625" customWidth="1"/>
    <col min="29" max="33" width="8.7265625" customWidth="1"/>
  </cols>
  <sheetData>
    <row r="1" spans="1:33" ht="15.75" customHeight="1">
      <c r="A1" s="13" t="b">
        <v>1</v>
      </c>
      <c r="B1" s="13"/>
      <c r="C1" s="13"/>
      <c r="D1" s="13"/>
      <c r="E1" s="13"/>
      <c r="F1" s="13"/>
      <c r="G1" s="13"/>
      <c r="H1" s="37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374"/>
      <c r="V1" s="374"/>
      <c r="W1" s="374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ht="15.75" customHeight="1">
      <c r="B2" s="13"/>
      <c r="C2" s="13"/>
      <c r="D2" s="13"/>
      <c r="E2" s="13"/>
      <c r="F2" s="13"/>
      <c r="G2" s="13"/>
      <c r="H2" s="37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374"/>
      <c r="V2" s="374"/>
      <c r="W2" s="374"/>
    </row>
    <row r="3" spans="1:33" ht="15.75" customHeight="1">
      <c r="B3" s="375" t="s">
        <v>104</v>
      </c>
      <c r="C3" s="13"/>
      <c r="D3" s="13"/>
      <c r="E3" s="13"/>
      <c r="F3" s="13"/>
      <c r="G3" s="13"/>
      <c r="H3" s="37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374"/>
      <c r="V3" s="374"/>
      <c r="W3" s="374"/>
    </row>
    <row r="4" spans="1:33" ht="15.75" customHeight="1">
      <c r="B4" s="376" t="s">
        <v>141</v>
      </c>
      <c r="C4" s="377">
        <v>1</v>
      </c>
      <c r="D4" s="377">
        <f t="shared" ref="D4:Y4" si="0">C4+1</f>
        <v>2</v>
      </c>
      <c r="E4" s="377">
        <f t="shared" si="0"/>
        <v>3</v>
      </c>
      <c r="F4" s="377">
        <f t="shared" si="0"/>
        <v>4</v>
      </c>
      <c r="G4" s="377">
        <f t="shared" si="0"/>
        <v>5</v>
      </c>
      <c r="H4" s="377">
        <f t="shared" si="0"/>
        <v>6</v>
      </c>
      <c r="I4" s="377">
        <f t="shared" si="0"/>
        <v>7</v>
      </c>
      <c r="J4" s="377">
        <f t="shared" si="0"/>
        <v>8</v>
      </c>
      <c r="K4" s="377">
        <f t="shared" si="0"/>
        <v>9</v>
      </c>
      <c r="L4" s="377">
        <f t="shared" si="0"/>
        <v>10</v>
      </c>
      <c r="M4" s="377">
        <f t="shared" si="0"/>
        <v>11</v>
      </c>
      <c r="N4" s="377">
        <f t="shared" si="0"/>
        <v>12</v>
      </c>
      <c r="O4" s="377">
        <f t="shared" si="0"/>
        <v>13</v>
      </c>
      <c r="P4" s="377">
        <f t="shared" si="0"/>
        <v>14</v>
      </c>
      <c r="Q4" s="377">
        <f t="shared" si="0"/>
        <v>15</v>
      </c>
      <c r="R4" s="377">
        <f t="shared" si="0"/>
        <v>16</v>
      </c>
      <c r="S4" s="377">
        <f t="shared" si="0"/>
        <v>17</v>
      </c>
      <c r="T4" s="377">
        <f t="shared" si="0"/>
        <v>18</v>
      </c>
      <c r="U4" s="377">
        <f t="shared" si="0"/>
        <v>19</v>
      </c>
      <c r="V4" s="377">
        <f t="shared" si="0"/>
        <v>20</v>
      </c>
      <c r="W4" s="377">
        <f t="shared" si="0"/>
        <v>21</v>
      </c>
      <c r="X4" s="377">
        <f t="shared" si="0"/>
        <v>22</v>
      </c>
      <c r="Y4" s="377">
        <f t="shared" si="0"/>
        <v>23</v>
      </c>
    </row>
    <row r="5" spans="1:33" ht="59.25" customHeight="1">
      <c r="A5" s="378"/>
      <c r="B5" s="379" t="s">
        <v>115</v>
      </c>
      <c r="C5" s="380" t="s">
        <v>142</v>
      </c>
      <c r="D5" s="381" t="s">
        <v>143</v>
      </c>
      <c r="E5" s="379" t="s">
        <v>144</v>
      </c>
      <c r="F5" s="381" t="s">
        <v>145</v>
      </c>
      <c r="G5" s="381" t="s">
        <v>146</v>
      </c>
      <c r="H5" s="382" t="s">
        <v>147</v>
      </c>
      <c r="I5" s="381" t="s">
        <v>148</v>
      </c>
      <c r="J5" s="381" t="s">
        <v>149</v>
      </c>
      <c r="K5" s="381" t="s">
        <v>150</v>
      </c>
      <c r="L5" s="381" t="s">
        <v>151</v>
      </c>
      <c r="M5" s="381" t="s">
        <v>152</v>
      </c>
      <c r="N5" s="381" t="s">
        <v>153</v>
      </c>
      <c r="O5" s="381" t="s">
        <v>154</v>
      </c>
      <c r="P5" s="381" t="s">
        <v>155</v>
      </c>
      <c r="Q5" s="381" t="s">
        <v>156</v>
      </c>
      <c r="R5" s="381" t="s">
        <v>157</v>
      </c>
      <c r="S5" s="381" t="s">
        <v>158</v>
      </c>
      <c r="T5" s="381" t="s">
        <v>159</v>
      </c>
      <c r="U5" s="381" t="s">
        <v>160</v>
      </c>
      <c r="V5" s="381" t="s">
        <v>161</v>
      </c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</row>
    <row r="6" spans="1:33" ht="49.5" customHeight="1">
      <c r="A6" s="383"/>
      <c r="B6" s="384"/>
      <c r="C6" s="385" t="s">
        <v>66</v>
      </c>
      <c r="D6" s="386" t="s">
        <v>162</v>
      </c>
      <c r="E6" s="387" t="s">
        <v>163</v>
      </c>
      <c r="F6" s="388">
        <v>0</v>
      </c>
      <c r="G6" s="388">
        <v>0</v>
      </c>
      <c r="H6" s="389">
        <v>0</v>
      </c>
      <c r="I6" s="390">
        <v>0.06</v>
      </c>
      <c r="J6" s="391">
        <v>2019</v>
      </c>
      <c r="K6" s="388">
        <v>0</v>
      </c>
      <c r="L6" s="388"/>
      <c r="M6" s="388"/>
      <c r="N6" s="388"/>
      <c r="O6" s="388"/>
      <c r="P6" s="388"/>
      <c r="Q6" s="388"/>
      <c r="R6" s="388"/>
      <c r="S6" s="388"/>
      <c r="T6" s="388"/>
      <c r="U6" s="383"/>
      <c r="V6" s="383"/>
      <c r="W6" s="392" t="s">
        <v>164</v>
      </c>
      <c r="X6" s="383"/>
      <c r="Y6" s="383"/>
      <c r="Z6" s="383"/>
      <c r="AA6" s="383"/>
      <c r="AB6" s="383"/>
      <c r="AC6" s="383"/>
      <c r="AD6" s="383"/>
      <c r="AE6" s="383"/>
      <c r="AF6" s="383"/>
      <c r="AG6" s="383"/>
    </row>
    <row r="7" spans="1:33" ht="64.5" customHeight="1">
      <c r="A7" s="393"/>
      <c r="B7" s="393"/>
      <c r="C7" s="394" t="s">
        <v>165</v>
      </c>
      <c r="D7" s="395" t="s">
        <v>166</v>
      </c>
      <c r="E7" s="396" t="s">
        <v>167</v>
      </c>
      <c r="F7" s="397">
        <v>25.42</v>
      </c>
      <c r="G7" s="397">
        <v>12.71</v>
      </c>
      <c r="H7" s="398">
        <v>0.19</v>
      </c>
      <c r="I7" s="399">
        <v>0.06</v>
      </c>
      <c r="J7" s="397">
        <v>2025</v>
      </c>
      <c r="K7" s="400">
        <v>24.1</v>
      </c>
      <c r="L7" s="396" t="s">
        <v>47</v>
      </c>
      <c r="M7" s="396" t="s">
        <v>47</v>
      </c>
      <c r="N7" s="396">
        <v>0</v>
      </c>
      <c r="O7" s="396">
        <v>0</v>
      </c>
      <c r="P7" s="396">
        <v>0</v>
      </c>
      <c r="Q7" s="393">
        <v>0</v>
      </c>
      <c r="R7" s="393">
        <v>0</v>
      </c>
      <c r="S7" s="393">
        <v>0</v>
      </c>
      <c r="T7" s="393">
        <v>0</v>
      </c>
      <c r="U7" s="401">
        <v>0</v>
      </c>
      <c r="V7" s="393"/>
      <c r="W7" s="402" t="s">
        <v>164</v>
      </c>
      <c r="X7" s="393"/>
      <c r="Y7" s="393"/>
      <c r="Z7" s="393"/>
      <c r="AA7" s="393"/>
      <c r="AB7" s="393"/>
      <c r="AC7" s="393"/>
      <c r="AD7" s="393"/>
      <c r="AE7" s="393"/>
      <c r="AF7" s="393"/>
      <c r="AG7" s="393"/>
    </row>
    <row r="8" spans="1:33" ht="64.5" customHeight="1">
      <c r="A8" s="393"/>
      <c r="B8" s="393"/>
      <c r="C8" s="394" t="s">
        <v>168</v>
      </c>
      <c r="D8" s="395" t="s">
        <v>169</v>
      </c>
      <c r="E8" s="396" t="s">
        <v>167</v>
      </c>
      <c r="F8" s="397">
        <v>25.42</v>
      </c>
      <c r="G8" s="397">
        <v>12.71</v>
      </c>
      <c r="H8" s="398">
        <v>0.19</v>
      </c>
      <c r="I8" s="399">
        <v>0.06</v>
      </c>
      <c r="J8" s="397">
        <v>2025</v>
      </c>
      <c r="K8" s="400">
        <v>24.1</v>
      </c>
      <c r="L8" s="396" t="s">
        <v>47</v>
      </c>
      <c r="M8" s="396" t="s">
        <v>47</v>
      </c>
      <c r="N8" s="396">
        <v>0</v>
      </c>
      <c r="O8" s="396">
        <v>0</v>
      </c>
      <c r="P8" s="396">
        <v>0</v>
      </c>
      <c r="Q8" s="393">
        <v>0</v>
      </c>
      <c r="R8" s="393">
        <v>0</v>
      </c>
      <c r="S8" s="393">
        <v>0</v>
      </c>
      <c r="T8" s="393">
        <v>0</v>
      </c>
      <c r="U8" s="401">
        <v>0</v>
      </c>
      <c r="V8" s="393">
        <v>0</v>
      </c>
      <c r="W8" s="402" t="s">
        <v>164</v>
      </c>
      <c r="X8" s="393"/>
      <c r="Y8" s="393"/>
      <c r="Z8" s="393"/>
      <c r="AA8" s="393"/>
      <c r="AB8" s="393"/>
      <c r="AC8" s="393"/>
      <c r="AD8" s="393"/>
      <c r="AE8" s="393"/>
      <c r="AF8" s="393"/>
      <c r="AG8" s="393"/>
    </row>
    <row r="9" spans="1:33" ht="64.5" customHeight="1">
      <c r="A9" s="393"/>
      <c r="B9" s="393"/>
      <c r="C9" s="393" t="s">
        <v>64</v>
      </c>
      <c r="D9" s="395" t="s">
        <v>170</v>
      </c>
      <c r="E9" s="403" t="s">
        <v>171</v>
      </c>
      <c r="F9" s="403">
        <v>31.69</v>
      </c>
      <c r="G9" s="403"/>
      <c r="H9" s="404">
        <v>0.2</v>
      </c>
      <c r="I9" s="399">
        <v>0.06</v>
      </c>
      <c r="J9" s="403">
        <v>2024</v>
      </c>
      <c r="K9" s="403">
        <v>0</v>
      </c>
      <c r="L9" s="403" t="s">
        <v>172</v>
      </c>
      <c r="M9" s="403" t="s">
        <v>53</v>
      </c>
      <c r="N9" s="396">
        <v>0</v>
      </c>
      <c r="O9" s="396">
        <v>0</v>
      </c>
      <c r="P9" s="396">
        <v>0</v>
      </c>
      <c r="Q9" s="403">
        <v>173.77</v>
      </c>
      <c r="R9" s="403">
        <v>20.75</v>
      </c>
      <c r="S9" s="403">
        <v>30.77</v>
      </c>
      <c r="T9" s="403">
        <v>30.77</v>
      </c>
      <c r="U9" s="401">
        <v>0</v>
      </c>
      <c r="V9" s="403">
        <v>198.64</v>
      </c>
      <c r="W9" s="402" t="s">
        <v>164</v>
      </c>
      <c r="X9" s="393"/>
      <c r="Y9" s="393"/>
      <c r="Z9" s="393"/>
      <c r="AA9" s="393"/>
      <c r="AB9" s="393"/>
      <c r="AC9" s="393"/>
      <c r="AD9" s="393"/>
      <c r="AE9" s="393"/>
      <c r="AF9" s="393"/>
      <c r="AG9" s="393"/>
    </row>
    <row r="10" spans="1:33" ht="64.5" customHeight="1">
      <c r="A10" s="393"/>
      <c r="B10" s="393"/>
      <c r="C10" s="393" t="s">
        <v>173</v>
      </c>
      <c r="D10" s="395" t="s">
        <v>174</v>
      </c>
      <c r="E10" s="403" t="s">
        <v>171</v>
      </c>
      <c r="F10" s="403">
        <v>31.25</v>
      </c>
      <c r="G10" s="403"/>
      <c r="H10" s="404">
        <v>0.2</v>
      </c>
      <c r="I10" s="399">
        <v>0.06</v>
      </c>
      <c r="J10" s="403">
        <v>2024</v>
      </c>
      <c r="K10" s="403">
        <v>0</v>
      </c>
      <c r="L10" s="403" t="s">
        <v>47</v>
      </c>
      <c r="M10" s="403" t="s">
        <v>53</v>
      </c>
      <c r="N10" s="396">
        <v>0</v>
      </c>
      <c r="O10" s="396">
        <v>0</v>
      </c>
      <c r="P10" s="396">
        <v>0</v>
      </c>
      <c r="Q10" s="401">
        <v>163.5</v>
      </c>
      <c r="R10" s="401">
        <v>20.5</v>
      </c>
      <c r="S10" s="401">
        <v>33.4</v>
      </c>
      <c r="T10" s="401">
        <v>33.4</v>
      </c>
      <c r="U10" s="401">
        <v>6</v>
      </c>
      <c r="V10" s="401">
        <v>200</v>
      </c>
      <c r="W10" s="402" t="s">
        <v>164</v>
      </c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</row>
    <row r="11" spans="1:33" ht="64.5" customHeight="1">
      <c r="A11" s="393"/>
      <c r="B11" s="393"/>
      <c r="C11" s="393" t="s">
        <v>175</v>
      </c>
      <c r="D11" s="395" t="s">
        <v>176</v>
      </c>
      <c r="E11" s="403" t="s">
        <v>171</v>
      </c>
      <c r="F11" s="401">
        <v>37</v>
      </c>
      <c r="G11" s="403"/>
      <c r="H11" s="405">
        <v>0.2</v>
      </c>
      <c r="I11" s="405">
        <v>0.06</v>
      </c>
      <c r="J11" s="403">
        <v>2025</v>
      </c>
      <c r="K11" s="403">
        <v>0</v>
      </c>
      <c r="L11" s="403" t="s">
        <v>47</v>
      </c>
      <c r="M11" s="403" t="s">
        <v>53</v>
      </c>
      <c r="N11" s="403">
        <v>0</v>
      </c>
      <c r="O11" s="403">
        <v>0</v>
      </c>
      <c r="P11" s="403">
        <v>0</v>
      </c>
      <c r="Q11" s="403"/>
      <c r="R11" s="401">
        <v>22</v>
      </c>
      <c r="S11" s="401">
        <v>35.5</v>
      </c>
      <c r="T11" s="401">
        <v>35.5</v>
      </c>
      <c r="U11" s="401">
        <v>6</v>
      </c>
      <c r="V11" s="401">
        <v>210</v>
      </c>
      <c r="W11" s="402" t="s">
        <v>164</v>
      </c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</row>
    <row r="12" spans="1:33" ht="78" customHeight="1">
      <c r="A12" s="383"/>
      <c r="B12" s="383"/>
      <c r="C12" s="393" t="s">
        <v>177</v>
      </c>
      <c r="D12" s="395" t="s">
        <v>178</v>
      </c>
      <c r="E12" s="403" t="s">
        <v>179</v>
      </c>
      <c r="F12" s="401">
        <v>18.07</v>
      </c>
      <c r="G12" s="403">
        <v>0</v>
      </c>
      <c r="H12" s="405">
        <v>0.2</v>
      </c>
      <c r="I12" s="405">
        <v>0.06</v>
      </c>
      <c r="J12" s="403">
        <v>2025</v>
      </c>
      <c r="K12" s="403">
        <v>0</v>
      </c>
      <c r="L12" s="403" t="s">
        <v>53</v>
      </c>
      <c r="M12" s="403" t="s">
        <v>53</v>
      </c>
      <c r="N12" s="403">
        <v>0</v>
      </c>
      <c r="O12" s="403">
        <v>0</v>
      </c>
      <c r="P12" s="403">
        <v>0</v>
      </c>
      <c r="Q12" s="403">
        <v>0</v>
      </c>
      <c r="R12" s="401">
        <v>0</v>
      </c>
      <c r="S12" s="401">
        <v>0</v>
      </c>
      <c r="T12" s="401">
        <v>0</v>
      </c>
      <c r="U12" s="401">
        <v>0</v>
      </c>
      <c r="V12" s="401">
        <v>0</v>
      </c>
      <c r="W12" s="402" t="s">
        <v>164</v>
      </c>
      <c r="X12" s="383"/>
      <c r="Y12" s="383"/>
      <c r="Z12" s="383"/>
      <c r="AA12" s="383"/>
      <c r="AB12" s="383"/>
      <c r="AC12" s="383"/>
      <c r="AD12" s="383"/>
      <c r="AE12" s="383"/>
      <c r="AF12" s="383"/>
      <c r="AG12" s="383"/>
    </row>
    <row r="13" spans="1:33" ht="49.5" customHeight="1">
      <c r="A13" s="383"/>
      <c r="B13" s="383"/>
      <c r="C13" s="406" t="s">
        <v>59</v>
      </c>
      <c r="D13" s="407" t="s">
        <v>180</v>
      </c>
      <c r="E13" s="408" t="s">
        <v>167</v>
      </c>
      <c r="F13" s="409">
        <v>27.15</v>
      </c>
      <c r="G13" s="409">
        <v>13.57</v>
      </c>
      <c r="H13" s="410">
        <v>0.19</v>
      </c>
      <c r="I13" s="411">
        <v>0.06</v>
      </c>
      <c r="J13" s="409">
        <v>2026</v>
      </c>
      <c r="K13" s="412">
        <v>25.52</v>
      </c>
      <c r="L13" s="408" t="s">
        <v>47</v>
      </c>
      <c r="M13" s="408" t="s">
        <v>47</v>
      </c>
      <c r="N13" s="413">
        <v>80</v>
      </c>
      <c r="O13" s="408">
        <v>0</v>
      </c>
      <c r="P13" s="408">
        <v>0</v>
      </c>
      <c r="Q13" s="414">
        <v>0</v>
      </c>
      <c r="R13" s="414">
        <v>0</v>
      </c>
      <c r="S13" s="414">
        <v>0</v>
      </c>
      <c r="T13" s="414">
        <v>0</v>
      </c>
      <c r="U13" s="415">
        <v>0</v>
      </c>
      <c r="V13" s="414">
        <v>0</v>
      </c>
      <c r="W13" s="416" t="s">
        <v>164</v>
      </c>
      <c r="X13" s="383"/>
      <c r="Y13" s="383"/>
      <c r="Z13" s="383"/>
      <c r="AA13" s="383"/>
      <c r="AB13" s="383"/>
      <c r="AC13" s="383"/>
      <c r="AD13" s="383"/>
      <c r="AE13" s="383"/>
      <c r="AF13" s="383"/>
      <c r="AG13" s="383"/>
    </row>
    <row r="14" spans="1:33" ht="81.75" customHeight="1">
      <c r="A14" s="383"/>
      <c r="B14" s="383"/>
      <c r="C14" s="417" t="s">
        <v>62</v>
      </c>
      <c r="D14" s="418" t="s">
        <v>181</v>
      </c>
      <c r="E14" s="419" t="s">
        <v>179</v>
      </c>
      <c r="F14" s="419">
        <v>18.97</v>
      </c>
      <c r="G14" s="419">
        <v>0</v>
      </c>
      <c r="H14" s="420">
        <v>0.2</v>
      </c>
      <c r="I14" s="420">
        <v>0.06</v>
      </c>
      <c r="J14" s="419">
        <v>2026</v>
      </c>
      <c r="K14" s="421">
        <v>0</v>
      </c>
      <c r="L14" s="419" t="s">
        <v>53</v>
      </c>
      <c r="M14" s="419" t="s">
        <v>53</v>
      </c>
      <c r="N14" s="419">
        <v>0</v>
      </c>
      <c r="O14" s="419">
        <v>0</v>
      </c>
      <c r="P14" s="419">
        <v>0</v>
      </c>
      <c r="Q14" s="419">
        <v>0</v>
      </c>
      <c r="R14" s="419">
        <v>0</v>
      </c>
      <c r="S14" s="419">
        <v>0</v>
      </c>
      <c r="T14" s="419">
        <v>0</v>
      </c>
      <c r="U14" s="419">
        <v>0</v>
      </c>
      <c r="V14" s="419">
        <v>0</v>
      </c>
      <c r="W14" s="422" t="s">
        <v>164</v>
      </c>
      <c r="X14" s="383"/>
      <c r="Y14" s="383"/>
      <c r="Z14" s="383"/>
      <c r="AA14" s="383"/>
      <c r="AB14" s="383"/>
      <c r="AC14" s="383"/>
      <c r="AD14" s="383"/>
      <c r="AE14" s="383"/>
      <c r="AF14" s="383"/>
      <c r="AG14" s="383"/>
    </row>
    <row r="15" spans="1:33" ht="79.5" customHeight="1">
      <c r="A15" s="383"/>
      <c r="B15" s="383"/>
      <c r="C15" s="383" t="s">
        <v>79</v>
      </c>
      <c r="D15" s="383" t="s">
        <v>182</v>
      </c>
      <c r="E15" s="408" t="s">
        <v>167</v>
      </c>
      <c r="F15" s="409">
        <v>27.15</v>
      </c>
      <c r="G15" s="409">
        <v>13.57</v>
      </c>
      <c r="H15" s="410">
        <v>0.19</v>
      </c>
      <c r="I15" s="411">
        <v>0.06</v>
      </c>
      <c r="J15" s="409">
        <v>2026</v>
      </c>
      <c r="K15" s="412">
        <v>25.52</v>
      </c>
      <c r="L15" s="408" t="s">
        <v>47</v>
      </c>
      <c r="M15" s="408" t="s">
        <v>47</v>
      </c>
      <c r="N15" s="413">
        <v>80</v>
      </c>
      <c r="O15" s="408">
        <v>0</v>
      </c>
      <c r="P15" s="408">
        <v>0</v>
      </c>
      <c r="Q15" s="414">
        <v>0</v>
      </c>
      <c r="R15" s="414">
        <v>0</v>
      </c>
      <c r="S15" s="414">
        <v>0</v>
      </c>
      <c r="T15" s="414">
        <v>0</v>
      </c>
      <c r="U15" s="415">
        <v>0</v>
      </c>
      <c r="V15" s="414">
        <v>0</v>
      </c>
      <c r="W15" s="416" t="s">
        <v>164</v>
      </c>
      <c r="X15" s="383"/>
      <c r="Y15" s="383"/>
      <c r="Z15" s="383"/>
      <c r="AA15" s="383"/>
      <c r="AB15" s="383"/>
      <c r="AC15" s="383"/>
      <c r="AD15" s="383"/>
      <c r="AE15" s="383"/>
      <c r="AF15" s="383"/>
      <c r="AG15" s="383"/>
    </row>
    <row r="16" spans="1:33" ht="49.5" customHeight="1">
      <c r="A16" s="383"/>
      <c r="B16" s="383"/>
      <c r="C16" s="383" t="s">
        <v>70</v>
      </c>
      <c r="D16" s="383" t="s">
        <v>183</v>
      </c>
      <c r="E16" s="408" t="s">
        <v>167</v>
      </c>
      <c r="F16" s="423">
        <v>27.15</v>
      </c>
      <c r="G16" s="409">
        <v>13.57</v>
      </c>
      <c r="H16" s="424">
        <v>0.19</v>
      </c>
      <c r="I16" s="411">
        <v>0.06</v>
      </c>
      <c r="J16" s="409">
        <v>2026</v>
      </c>
      <c r="K16" s="412">
        <v>25.52</v>
      </c>
      <c r="L16" s="408" t="s">
        <v>47</v>
      </c>
      <c r="M16" s="408" t="s">
        <v>47</v>
      </c>
      <c r="N16" s="413">
        <v>80</v>
      </c>
      <c r="O16" s="408">
        <v>0</v>
      </c>
      <c r="P16" s="408">
        <v>0</v>
      </c>
      <c r="Q16" s="414">
        <v>0</v>
      </c>
      <c r="R16" s="414">
        <v>0</v>
      </c>
      <c r="S16" s="414">
        <v>0</v>
      </c>
      <c r="T16" s="414">
        <v>0</v>
      </c>
      <c r="U16" s="415">
        <v>0</v>
      </c>
      <c r="V16" s="414">
        <v>0</v>
      </c>
      <c r="W16" s="416" t="s">
        <v>164</v>
      </c>
      <c r="X16" s="383"/>
      <c r="Y16" s="383"/>
      <c r="Z16" s="383"/>
      <c r="AA16" s="383"/>
      <c r="AB16" s="383"/>
      <c r="AC16" s="383"/>
      <c r="AD16" s="383"/>
      <c r="AE16" s="383"/>
      <c r="AF16" s="383"/>
      <c r="AG16" s="383"/>
    </row>
    <row r="17" spans="1:33" ht="49.5" customHeight="1">
      <c r="A17" s="383"/>
      <c r="B17" s="383"/>
      <c r="C17" s="383"/>
      <c r="D17" s="383"/>
      <c r="E17" s="383"/>
      <c r="F17" s="383"/>
      <c r="G17" s="383"/>
      <c r="H17" s="425"/>
      <c r="I17" s="383"/>
      <c r="J17" s="383"/>
      <c r="K17" s="383"/>
      <c r="L17" s="383"/>
      <c r="M17" s="383"/>
      <c r="N17" s="383"/>
      <c r="O17" s="383"/>
      <c r="P17" s="383"/>
      <c r="Q17" s="383"/>
      <c r="R17" s="383"/>
      <c r="S17" s="383"/>
      <c r="T17" s="383"/>
      <c r="U17" s="383"/>
      <c r="V17" s="383"/>
      <c r="W17" s="422"/>
      <c r="X17" s="383"/>
      <c r="Y17" s="383"/>
      <c r="Z17" s="383"/>
      <c r="AA17" s="383"/>
      <c r="AB17" s="383"/>
      <c r="AC17" s="383"/>
      <c r="AD17" s="383"/>
      <c r="AE17" s="383"/>
      <c r="AF17" s="383"/>
      <c r="AG17" s="383"/>
    </row>
    <row r="18" spans="1:33" ht="49.5" customHeight="1">
      <c r="A18" s="383"/>
      <c r="B18" s="383"/>
      <c r="C18" s="383"/>
      <c r="D18" s="383"/>
      <c r="E18" s="383"/>
      <c r="F18" s="383"/>
      <c r="G18" s="383"/>
      <c r="H18" s="425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383"/>
      <c r="W18" s="422"/>
      <c r="X18" s="383"/>
      <c r="Y18" s="383"/>
      <c r="Z18" s="383"/>
      <c r="AA18" s="383"/>
      <c r="AB18" s="383"/>
      <c r="AC18" s="383"/>
      <c r="AD18" s="383"/>
      <c r="AE18" s="383"/>
      <c r="AF18" s="383"/>
      <c r="AG18" s="383"/>
    </row>
    <row r="19" spans="1:33" ht="49.5" customHeight="1">
      <c r="B19" s="13"/>
      <c r="C19" s="13"/>
      <c r="D19" s="13"/>
      <c r="E19" s="13"/>
      <c r="F19" s="13"/>
      <c r="G19" s="13"/>
      <c r="H19" s="37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383"/>
      <c r="V19" s="383"/>
      <c r="W19" s="374"/>
    </row>
    <row r="20" spans="1:33" ht="49.5" customHeight="1">
      <c r="B20" s="13"/>
      <c r="C20" s="13"/>
      <c r="D20" s="13"/>
      <c r="E20" s="13"/>
      <c r="F20" s="13"/>
      <c r="G20" s="13"/>
      <c r="H20" s="37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383"/>
      <c r="V20" s="383"/>
      <c r="W20" s="374"/>
    </row>
    <row r="21" spans="1:33" ht="49.5" customHeight="1">
      <c r="B21" s="13"/>
      <c r="C21" s="13"/>
      <c r="D21" s="13"/>
      <c r="E21" s="13"/>
      <c r="F21" s="13"/>
      <c r="G21" s="13"/>
      <c r="H21" s="37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383"/>
      <c r="V21" s="383"/>
      <c r="W21" s="374"/>
    </row>
    <row r="22" spans="1:33" ht="49.5" customHeight="1">
      <c r="B22" s="13"/>
      <c r="C22" s="13"/>
      <c r="D22" s="13"/>
      <c r="E22" s="13"/>
      <c r="F22" s="13"/>
      <c r="G22" s="13"/>
      <c r="H22" s="37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383"/>
      <c r="V22" s="383"/>
      <c r="W22" s="374"/>
    </row>
    <row r="23" spans="1:33" ht="49.5" customHeight="1">
      <c r="B23" s="13"/>
      <c r="C23" s="13"/>
      <c r="D23" s="13"/>
      <c r="E23" s="13"/>
      <c r="F23" s="13"/>
      <c r="G23" s="13"/>
      <c r="H23" s="37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383"/>
      <c r="V23" s="383"/>
      <c r="W23" s="374"/>
    </row>
    <row r="24" spans="1:33" ht="49.5" customHeight="1">
      <c r="B24" s="13"/>
      <c r="C24" s="13"/>
      <c r="D24" s="13"/>
      <c r="E24" s="13"/>
      <c r="F24" s="13"/>
      <c r="G24" s="13"/>
      <c r="H24" s="37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383"/>
      <c r="V24" s="383"/>
      <c r="W24" s="374"/>
    </row>
    <row r="25" spans="1:33" ht="49.5" customHeight="1">
      <c r="B25" s="13"/>
      <c r="C25" s="13"/>
      <c r="D25" s="13"/>
      <c r="E25" s="13"/>
      <c r="F25" s="13"/>
      <c r="G25" s="13"/>
      <c r="H25" s="37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383"/>
      <c r="V25" s="383"/>
      <c r="W25" s="374"/>
    </row>
    <row r="26" spans="1:33" ht="49.5" customHeight="1">
      <c r="B26" s="13"/>
      <c r="C26" s="13"/>
      <c r="D26" s="13"/>
      <c r="E26" s="13"/>
      <c r="F26" s="13"/>
      <c r="G26" s="13"/>
      <c r="H26" s="37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383"/>
      <c r="V26" s="383"/>
      <c r="W26" s="374"/>
    </row>
    <row r="27" spans="1:33" ht="49.5" customHeight="1">
      <c r="B27" s="13"/>
      <c r="C27" s="13"/>
      <c r="D27" s="13"/>
      <c r="E27" s="13"/>
      <c r="F27" s="13"/>
      <c r="G27" s="13"/>
      <c r="H27" s="37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383"/>
      <c r="V27" s="383"/>
      <c r="W27" s="374"/>
    </row>
    <row r="28" spans="1:33" ht="49.5" customHeight="1">
      <c r="B28" s="13"/>
      <c r="C28" s="13"/>
      <c r="D28" s="13"/>
      <c r="E28" s="13"/>
      <c r="F28" s="13"/>
      <c r="G28" s="13"/>
      <c r="H28" s="37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383"/>
      <c r="V28" s="383"/>
      <c r="W28" s="374"/>
    </row>
    <row r="29" spans="1:33" ht="49.5" customHeight="1">
      <c r="B29" s="13"/>
      <c r="C29" s="13"/>
      <c r="D29" s="13"/>
      <c r="E29" s="13"/>
      <c r="F29" s="13"/>
      <c r="G29" s="13"/>
      <c r="H29" s="37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383"/>
      <c r="V29" s="383"/>
      <c r="W29" s="374"/>
    </row>
    <row r="30" spans="1:33" ht="49.5" customHeight="1">
      <c r="B30" s="13"/>
      <c r="C30" s="13"/>
      <c r="D30" s="13"/>
      <c r="E30" s="13"/>
      <c r="F30" s="13"/>
      <c r="G30" s="13"/>
      <c r="H30" s="37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383"/>
      <c r="V30" s="383"/>
      <c r="W30" s="374"/>
    </row>
    <row r="31" spans="1:33" ht="49.5" customHeight="1">
      <c r="B31" s="13"/>
      <c r="C31" s="13"/>
      <c r="D31" s="13"/>
      <c r="E31" s="13"/>
      <c r="F31" s="13"/>
      <c r="G31" s="13"/>
      <c r="H31" s="37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374"/>
      <c r="V31" s="374"/>
      <c r="W31" s="374"/>
    </row>
    <row r="32" spans="1:33" ht="49.5" customHeight="1">
      <c r="B32" s="13"/>
      <c r="C32" s="13"/>
      <c r="D32" s="13"/>
      <c r="E32" s="13"/>
      <c r="F32" s="13"/>
      <c r="G32" s="13"/>
      <c r="H32" s="37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374"/>
      <c r="V32" s="374"/>
      <c r="W32" s="374"/>
    </row>
    <row r="33" spans="2:23" ht="25.5" customHeight="1">
      <c r="B33" s="13"/>
      <c r="C33" s="13"/>
      <c r="D33" s="13"/>
      <c r="E33" s="13"/>
      <c r="F33" s="13"/>
      <c r="G33" s="13"/>
      <c r="H33" s="37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374"/>
      <c r="V33" s="374"/>
      <c r="W33" s="374"/>
    </row>
    <row r="34" spans="2:23" ht="25.5" customHeight="1">
      <c r="B34" s="13"/>
      <c r="C34" s="13"/>
      <c r="D34" s="13"/>
      <c r="E34" s="13"/>
      <c r="F34" s="13"/>
      <c r="G34" s="13"/>
      <c r="H34" s="37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374"/>
      <c r="V34" s="374"/>
      <c r="W34" s="374"/>
    </row>
    <row r="35" spans="2:23" ht="25.5" customHeight="1">
      <c r="B35" s="13"/>
      <c r="C35" s="13"/>
      <c r="D35" s="13"/>
      <c r="E35" s="13"/>
      <c r="F35" s="13"/>
      <c r="G35" s="13"/>
      <c r="H35" s="37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374"/>
      <c r="V35" s="374"/>
      <c r="W35" s="374"/>
    </row>
    <row r="36" spans="2:23" ht="25.5" customHeight="1">
      <c r="B36" s="13"/>
      <c r="C36" s="13"/>
      <c r="D36" s="13"/>
      <c r="E36" s="13"/>
      <c r="F36" s="13"/>
      <c r="G36" s="13"/>
      <c r="H36" s="37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374"/>
      <c r="V36" s="374"/>
      <c r="W36" s="374"/>
    </row>
    <row r="37" spans="2:23" ht="25.5" customHeight="1">
      <c r="B37" s="13"/>
      <c r="C37" s="13"/>
      <c r="D37" s="13"/>
      <c r="E37" s="13"/>
      <c r="F37" s="13"/>
      <c r="G37" s="13"/>
      <c r="H37" s="37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374"/>
      <c r="V37" s="374"/>
      <c r="W37" s="374"/>
    </row>
    <row r="38" spans="2:23" ht="25.5" customHeight="1">
      <c r="B38" s="13"/>
      <c r="C38" s="13"/>
      <c r="D38" s="13"/>
      <c r="E38" s="13"/>
      <c r="F38" s="13"/>
      <c r="G38" s="13"/>
      <c r="H38" s="37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374"/>
      <c r="V38" s="374"/>
      <c r="W38" s="374"/>
    </row>
    <row r="39" spans="2:23" ht="25.5" customHeight="1">
      <c r="B39" s="13"/>
      <c r="C39" s="13"/>
      <c r="D39" s="13"/>
      <c r="E39" s="13"/>
      <c r="F39" s="13"/>
      <c r="G39" s="13"/>
      <c r="H39" s="37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374"/>
      <c r="V39" s="374"/>
      <c r="W39" s="374"/>
    </row>
    <row r="40" spans="2:23" ht="25.5" customHeight="1">
      <c r="B40" s="13"/>
      <c r="C40" s="13"/>
      <c r="D40" s="13"/>
      <c r="E40" s="13"/>
      <c r="F40" s="13"/>
      <c r="G40" s="13"/>
      <c r="H40" s="37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374"/>
      <c r="V40" s="374"/>
      <c r="W40" s="374"/>
    </row>
    <row r="41" spans="2:23" ht="25.5" customHeight="1">
      <c r="B41" s="13"/>
      <c r="C41" s="13"/>
      <c r="D41" s="13"/>
      <c r="E41" s="13"/>
      <c r="F41" s="13"/>
      <c r="G41" s="13"/>
      <c r="H41" s="37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374"/>
      <c r="V41" s="374"/>
      <c r="W41" s="374"/>
    </row>
    <row r="42" spans="2:23" ht="25.5" customHeight="1">
      <c r="B42" s="13"/>
      <c r="C42" s="13"/>
      <c r="D42" s="13"/>
      <c r="E42" s="13"/>
      <c r="F42" s="13"/>
      <c r="G42" s="13"/>
      <c r="H42" s="37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374"/>
      <c r="V42" s="374"/>
      <c r="W42" s="374"/>
    </row>
    <row r="43" spans="2:23" ht="25.5" customHeight="1">
      <c r="B43" s="13"/>
      <c r="C43" s="13"/>
      <c r="D43" s="13"/>
      <c r="E43" s="13"/>
      <c r="F43" s="13"/>
      <c r="G43" s="13"/>
      <c r="H43" s="37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374"/>
      <c r="V43" s="374"/>
      <c r="W43" s="374"/>
    </row>
    <row r="44" spans="2:23" ht="25.5" customHeight="1">
      <c r="B44" s="13"/>
      <c r="C44" s="13"/>
      <c r="D44" s="13"/>
      <c r="E44" s="13"/>
      <c r="F44" s="13"/>
      <c r="G44" s="13"/>
      <c r="H44" s="37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374"/>
      <c r="V44" s="374"/>
      <c r="W44" s="374"/>
    </row>
    <row r="45" spans="2:23" ht="25.5" customHeight="1">
      <c r="B45" s="13"/>
      <c r="C45" s="13"/>
      <c r="D45" s="13"/>
      <c r="E45" s="13"/>
      <c r="F45" s="13"/>
      <c r="G45" s="13"/>
      <c r="H45" s="37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374"/>
      <c r="V45" s="374"/>
      <c r="W45" s="374"/>
    </row>
    <row r="46" spans="2:23" ht="25.5" customHeight="1">
      <c r="B46" s="13"/>
      <c r="C46" s="13"/>
      <c r="D46" s="13"/>
      <c r="E46" s="13"/>
      <c r="F46" s="13"/>
      <c r="G46" s="13"/>
      <c r="H46" s="37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374"/>
      <c r="V46" s="374"/>
      <c r="W46" s="374"/>
    </row>
    <row r="47" spans="2:23" ht="25.5" customHeight="1">
      <c r="B47" s="13"/>
      <c r="C47" s="13"/>
      <c r="D47" s="13"/>
      <c r="E47" s="13"/>
      <c r="F47" s="13"/>
      <c r="G47" s="13"/>
      <c r="H47" s="37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374"/>
      <c r="V47" s="374"/>
      <c r="W47" s="374"/>
    </row>
    <row r="48" spans="2:23" ht="25.5" customHeight="1">
      <c r="B48" s="13"/>
      <c r="C48" s="13"/>
      <c r="D48" s="13"/>
      <c r="E48" s="13"/>
      <c r="F48" s="13"/>
      <c r="G48" s="13"/>
      <c r="H48" s="37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374"/>
      <c r="V48" s="374"/>
      <c r="W48" s="374"/>
    </row>
    <row r="49" spans="2:23" ht="25.5" customHeight="1">
      <c r="B49" s="13"/>
      <c r="C49" s="13"/>
      <c r="D49" s="13"/>
      <c r="E49" s="13"/>
      <c r="F49" s="13"/>
      <c r="G49" s="13"/>
      <c r="H49" s="37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374"/>
      <c r="V49" s="374"/>
      <c r="W49" s="374"/>
    </row>
    <row r="50" spans="2:23" ht="25.5" customHeight="1">
      <c r="B50" s="13"/>
      <c r="C50" s="13"/>
      <c r="D50" s="13"/>
      <c r="E50" s="13"/>
      <c r="F50" s="13"/>
      <c r="G50" s="13"/>
      <c r="H50" s="37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374"/>
      <c r="V50" s="374"/>
      <c r="W50" s="374"/>
    </row>
    <row r="51" spans="2:23" ht="25.5" customHeight="1">
      <c r="B51" s="13"/>
      <c r="C51" s="13"/>
      <c r="D51" s="13"/>
      <c r="E51" s="13"/>
      <c r="F51" s="13"/>
      <c r="G51" s="13"/>
      <c r="H51" s="37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374"/>
      <c r="V51" s="374"/>
      <c r="W51" s="374"/>
    </row>
    <row r="52" spans="2:23" ht="25.5" customHeight="1">
      <c r="B52" s="13"/>
      <c r="C52" s="13"/>
      <c r="D52" s="13"/>
      <c r="E52" s="13"/>
      <c r="F52" s="13"/>
      <c r="G52" s="13"/>
      <c r="H52" s="37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374"/>
      <c r="V52" s="374"/>
      <c r="W52" s="374"/>
    </row>
    <row r="53" spans="2:23" ht="25.5" customHeight="1">
      <c r="B53" s="13"/>
      <c r="C53" s="13"/>
      <c r="D53" s="13"/>
      <c r="E53" s="13"/>
      <c r="F53" s="13"/>
      <c r="G53" s="13"/>
      <c r="H53" s="37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374"/>
      <c r="V53" s="374"/>
      <c r="W53" s="374"/>
    </row>
    <row r="54" spans="2:23" ht="25.5" customHeight="1">
      <c r="B54" s="13"/>
      <c r="C54" s="13"/>
      <c r="D54" s="13"/>
      <c r="E54" s="13"/>
      <c r="F54" s="13"/>
      <c r="G54" s="13"/>
      <c r="H54" s="37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374"/>
      <c r="V54" s="374"/>
      <c r="W54" s="374"/>
    </row>
    <row r="55" spans="2:23" ht="25.5" customHeight="1">
      <c r="B55" s="13"/>
      <c r="C55" s="13"/>
      <c r="D55" s="13"/>
      <c r="E55" s="13"/>
      <c r="F55" s="13"/>
      <c r="G55" s="13"/>
      <c r="H55" s="37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374"/>
      <c r="V55" s="374"/>
      <c r="W55" s="374"/>
    </row>
    <row r="56" spans="2:23" ht="25.5" customHeight="1">
      <c r="B56" s="13"/>
      <c r="C56" s="13"/>
      <c r="D56" s="13"/>
      <c r="E56" s="13"/>
      <c r="F56" s="13"/>
      <c r="G56" s="13"/>
      <c r="H56" s="37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374"/>
      <c r="V56" s="374"/>
      <c r="W56" s="374"/>
    </row>
    <row r="57" spans="2:23" ht="25.5" customHeight="1">
      <c r="B57" s="13"/>
      <c r="C57" s="13"/>
      <c r="D57" s="13"/>
      <c r="E57" s="13"/>
      <c r="F57" s="13"/>
      <c r="G57" s="13"/>
      <c r="H57" s="37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374"/>
      <c r="V57" s="374"/>
      <c r="W57" s="374"/>
    </row>
    <row r="58" spans="2:23" ht="25.5" customHeight="1">
      <c r="B58" s="13"/>
      <c r="C58" s="13"/>
      <c r="D58" s="13"/>
      <c r="E58" s="13"/>
      <c r="F58" s="13"/>
      <c r="G58" s="13"/>
      <c r="H58" s="37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374"/>
      <c r="V58" s="374"/>
      <c r="W58" s="374"/>
    </row>
    <row r="59" spans="2:23" ht="25.5" customHeight="1">
      <c r="B59" s="13"/>
      <c r="C59" s="13"/>
      <c r="D59" s="13"/>
      <c r="E59" s="13"/>
      <c r="F59" s="13"/>
      <c r="G59" s="13"/>
      <c r="H59" s="37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374"/>
      <c r="V59" s="374"/>
      <c r="W59" s="374"/>
    </row>
    <row r="60" spans="2:23" ht="25.5" customHeight="1">
      <c r="B60" s="13"/>
      <c r="C60" s="13"/>
      <c r="D60" s="13"/>
      <c r="E60" s="13"/>
      <c r="F60" s="13"/>
      <c r="G60" s="13"/>
      <c r="H60" s="37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374"/>
      <c r="V60" s="374"/>
      <c r="W60" s="374"/>
    </row>
    <row r="61" spans="2:23" ht="25.5" customHeight="1">
      <c r="B61" s="13"/>
      <c r="C61" s="13"/>
      <c r="D61" s="13"/>
      <c r="E61" s="13"/>
      <c r="F61" s="13"/>
      <c r="G61" s="13"/>
      <c r="H61" s="37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374"/>
      <c r="V61" s="374"/>
      <c r="W61" s="374"/>
    </row>
    <row r="62" spans="2:23" ht="25.5" customHeight="1">
      <c r="B62" s="13"/>
      <c r="C62" s="13"/>
      <c r="D62" s="13"/>
      <c r="E62" s="13"/>
      <c r="F62" s="13"/>
      <c r="G62" s="13"/>
      <c r="H62" s="37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374"/>
      <c r="V62" s="374"/>
      <c r="W62" s="374"/>
    </row>
    <row r="63" spans="2:23" ht="25.5" customHeight="1">
      <c r="B63" s="13"/>
      <c r="C63" s="13"/>
      <c r="D63" s="13"/>
      <c r="E63" s="13"/>
      <c r="F63" s="13"/>
      <c r="G63" s="13"/>
      <c r="H63" s="37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374"/>
      <c r="V63" s="374"/>
      <c r="W63" s="374"/>
    </row>
    <row r="64" spans="2:23" ht="25.5" customHeight="1">
      <c r="B64" s="13"/>
      <c r="C64" s="13"/>
      <c r="D64" s="13"/>
      <c r="E64" s="13"/>
      <c r="F64" s="13"/>
      <c r="G64" s="13"/>
      <c r="H64" s="37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374"/>
      <c r="V64" s="374"/>
      <c r="W64" s="374"/>
    </row>
    <row r="65" spans="2:23" ht="25.5" customHeight="1">
      <c r="B65" s="13"/>
      <c r="C65" s="13"/>
      <c r="D65" s="13"/>
      <c r="E65" s="13"/>
      <c r="F65" s="13"/>
      <c r="G65" s="13"/>
      <c r="H65" s="37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374"/>
      <c r="V65" s="374"/>
      <c r="W65" s="374"/>
    </row>
    <row r="66" spans="2:23" ht="25.5" customHeight="1">
      <c r="B66" s="13"/>
      <c r="C66" s="13"/>
      <c r="D66" s="13"/>
      <c r="E66" s="13"/>
      <c r="F66" s="13"/>
      <c r="G66" s="13"/>
      <c r="H66" s="37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374"/>
      <c r="V66" s="374"/>
      <c r="W66" s="374"/>
    </row>
    <row r="67" spans="2:23" ht="25.5" customHeight="1">
      <c r="B67" s="13"/>
      <c r="C67" s="13"/>
      <c r="D67" s="13"/>
      <c r="E67" s="13"/>
      <c r="F67" s="13"/>
      <c r="G67" s="13"/>
      <c r="H67" s="37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374"/>
      <c r="V67" s="374"/>
      <c r="W67" s="374"/>
    </row>
    <row r="68" spans="2:23" ht="25.5" customHeight="1">
      <c r="B68" s="13"/>
      <c r="C68" s="13"/>
      <c r="D68" s="13"/>
      <c r="E68" s="13"/>
      <c r="F68" s="13"/>
      <c r="G68" s="13"/>
      <c r="H68" s="37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374"/>
      <c r="V68" s="374"/>
      <c r="W68" s="374"/>
    </row>
    <row r="69" spans="2:23" ht="25.5" customHeight="1">
      <c r="B69" s="13"/>
      <c r="C69" s="13"/>
      <c r="D69" s="13"/>
      <c r="E69" s="13"/>
      <c r="F69" s="13"/>
      <c r="G69" s="13"/>
      <c r="H69" s="37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374"/>
      <c r="V69" s="374"/>
      <c r="W69" s="374"/>
    </row>
    <row r="70" spans="2:23" ht="25.5" customHeight="1">
      <c r="B70" s="13"/>
      <c r="C70" s="13"/>
      <c r="D70" s="13"/>
      <c r="E70" s="13"/>
      <c r="F70" s="13"/>
      <c r="G70" s="13"/>
      <c r="H70" s="37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374"/>
      <c r="V70" s="374"/>
      <c r="W70" s="374"/>
    </row>
    <row r="71" spans="2:23" ht="25.5" customHeight="1">
      <c r="B71" s="13"/>
      <c r="C71" s="13"/>
      <c r="D71" s="13"/>
      <c r="E71" s="13"/>
      <c r="F71" s="13"/>
      <c r="G71" s="13"/>
      <c r="H71" s="37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374"/>
      <c r="V71" s="374"/>
      <c r="W71" s="374"/>
    </row>
    <row r="72" spans="2:23" ht="25.5" customHeight="1">
      <c r="B72" s="13"/>
      <c r="C72" s="13"/>
      <c r="D72" s="13"/>
      <c r="E72" s="13"/>
      <c r="F72" s="13"/>
      <c r="G72" s="13"/>
      <c r="H72" s="37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374"/>
      <c r="V72" s="374"/>
      <c r="W72" s="374"/>
    </row>
    <row r="73" spans="2:23" ht="25.5" customHeight="1">
      <c r="B73" s="13"/>
      <c r="C73" s="13"/>
      <c r="D73" s="13"/>
      <c r="E73" s="13"/>
      <c r="F73" s="13"/>
      <c r="G73" s="13"/>
      <c r="H73" s="37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374"/>
      <c r="V73" s="374"/>
      <c r="W73" s="374"/>
    </row>
    <row r="74" spans="2:23" ht="25.5" customHeight="1">
      <c r="B74" s="13"/>
      <c r="C74" s="13"/>
      <c r="D74" s="13"/>
      <c r="E74" s="13"/>
      <c r="F74" s="13"/>
      <c r="G74" s="13"/>
      <c r="H74" s="37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374"/>
      <c r="V74" s="374"/>
      <c r="W74" s="374"/>
    </row>
    <row r="75" spans="2:23" ht="25.5" customHeight="1">
      <c r="B75" s="13"/>
      <c r="C75" s="13"/>
      <c r="D75" s="13"/>
      <c r="E75" s="13"/>
      <c r="F75" s="13"/>
      <c r="G75" s="13"/>
      <c r="H75" s="37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374"/>
      <c r="V75" s="374"/>
      <c r="W75" s="374"/>
    </row>
    <row r="76" spans="2:23" ht="25.5" customHeight="1">
      <c r="B76" s="13"/>
      <c r="C76" s="13"/>
      <c r="D76" s="13"/>
      <c r="E76" s="13"/>
      <c r="F76" s="13"/>
      <c r="G76" s="13"/>
      <c r="H76" s="37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374"/>
      <c r="V76" s="374"/>
      <c r="W76" s="374"/>
    </row>
    <row r="77" spans="2:23" ht="25.5" customHeight="1">
      <c r="B77" s="13"/>
      <c r="C77" s="13"/>
      <c r="D77" s="13"/>
      <c r="E77" s="13"/>
      <c r="F77" s="13"/>
      <c r="G77" s="13"/>
      <c r="H77" s="37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374"/>
      <c r="V77" s="374"/>
      <c r="W77" s="374"/>
    </row>
    <row r="78" spans="2:23" ht="25.5" customHeight="1">
      <c r="B78" s="13"/>
      <c r="C78" s="13"/>
      <c r="D78" s="13"/>
      <c r="E78" s="13"/>
      <c r="F78" s="13"/>
      <c r="G78" s="13"/>
      <c r="H78" s="37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374"/>
      <c r="V78" s="374"/>
      <c r="W78" s="374"/>
    </row>
    <row r="79" spans="2:23" ht="25.5" customHeight="1">
      <c r="B79" s="13"/>
      <c r="C79" s="13"/>
      <c r="D79" s="13"/>
      <c r="E79" s="13"/>
      <c r="F79" s="13"/>
      <c r="G79" s="13"/>
      <c r="H79" s="37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374"/>
      <c r="V79" s="374"/>
      <c r="W79" s="374"/>
    </row>
    <row r="80" spans="2:23" ht="25.5" customHeight="1">
      <c r="B80" s="13"/>
      <c r="C80" s="13"/>
      <c r="D80" s="13"/>
      <c r="E80" s="13"/>
      <c r="F80" s="13"/>
      <c r="G80" s="13"/>
      <c r="H80" s="37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374"/>
      <c r="V80" s="374"/>
      <c r="W80" s="374"/>
    </row>
    <row r="81" spans="2:23" ht="25.5" customHeight="1">
      <c r="B81" s="13"/>
      <c r="C81" s="13"/>
      <c r="D81" s="13"/>
      <c r="E81" s="13"/>
      <c r="F81" s="13"/>
      <c r="G81" s="13"/>
      <c r="H81" s="37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374"/>
      <c r="V81" s="374"/>
      <c r="W81" s="374"/>
    </row>
    <row r="82" spans="2:23" ht="25.5" customHeight="1">
      <c r="B82" s="13"/>
      <c r="C82" s="13"/>
      <c r="D82" s="13"/>
      <c r="E82" s="13"/>
      <c r="F82" s="13"/>
      <c r="G82" s="13"/>
      <c r="H82" s="37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374"/>
      <c r="V82" s="374"/>
      <c r="W82" s="374"/>
    </row>
    <row r="83" spans="2:23" ht="25.5" customHeight="1">
      <c r="B83" s="13"/>
      <c r="C83" s="13"/>
      <c r="D83" s="13"/>
      <c r="E83" s="13"/>
      <c r="F83" s="13"/>
      <c r="G83" s="13"/>
      <c r="H83" s="37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374"/>
      <c r="V83" s="374"/>
      <c r="W83" s="374"/>
    </row>
    <row r="84" spans="2:23" ht="25.5" customHeight="1">
      <c r="B84" s="13"/>
      <c r="C84" s="13"/>
      <c r="D84" s="13"/>
      <c r="E84" s="13"/>
      <c r="F84" s="13"/>
      <c r="G84" s="13"/>
      <c r="H84" s="37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374"/>
      <c r="V84" s="374"/>
      <c r="W84" s="374"/>
    </row>
    <row r="85" spans="2:23" ht="25.5" customHeight="1">
      <c r="B85" s="13"/>
      <c r="C85" s="13"/>
      <c r="D85" s="13"/>
      <c r="E85" s="13"/>
      <c r="F85" s="13"/>
      <c r="G85" s="13"/>
      <c r="H85" s="37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374"/>
      <c r="V85" s="374"/>
      <c r="W85" s="374"/>
    </row>
    <row r="86" spans="2:23" ht="25.5" customHeight="1">
      <c r="B86" s="13"/>
      <c r="C86" s="13"/>
      <c r="D86" s="13"/>
      <c r="E86" s="13"/>
      <c r="F86" s="13"/>
      <c r="G86" s="13"/>
      <c r="H86" s="37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374"/>
      <c r="V86" s="374"/>
      <c r="W86" s="374"/>
    </row>
    <row r="87" spans="2:23" ht="25.5" customHeight="1">
      <c r="B87" s="13"/>
      <c r="C87" s="13"/>
      <c r="D87" s="13"/>
      <c r="E87" s="13"/>
      <c r="F87" s="13"/>
      <c r="G87" s="13"/>
      <c r="H87" s="37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374"/>
      <c r="V87" s="374"/>
      <c r="W87" s="374"/>
    </row>
    <row r="88" spans="2:23" ht="25.5" customHeight="1">
      <c r="B88" s="13"/>
      <c r="C88" s="13"/>
      <c r="D88" s="13"/>
      <c r="E88" s="13"/>
      <c r="F88" s="13"/>
      <c r="G88" s="13"/>
      <c r="H88" s="37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374"/>
      <c r="V88" s="374"/>
      <c r="W88" s="374"/>
    </row>
    <row r="89" spans="2:23" ht="25.5" customHeight="1">
      <c r="B89" s="13"/>
      <c r="C89" s="13"/>
      <c r="D89" s="13"/>
      <c r="E89" s="13"/>
      <c r="F89" s="13"/>
      <c r="G89" s="13"/>
      <c r="H89" s="37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374"/>
      <c r="V89" s="374"/>
      <c r="W89" s="374"/>
    </row>
    <row r="90" spans="2:23" ht="25.5" customHeight="1">
      <c r="B90" s="13"/>
      <c r="C90" s="13"/>
      <c r="D90" s="13"/>
      <c r="E90" s="13"/>
      <c r="F90" s="13"/>
      <c r="G90" s="13"/>
      <c r="H90" s="37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374"/>
      <c r="V90" s="374"/>
      <c r="W90" s="374"/>
    </row>
    <row r="91" spans="2:23" ht="25.5" customHeight="1">
      <c r="B91" s="13"/>
      <c r="C91" s="13"/>
      <c r="D91" s="13"/>
      <c r="E91" s="13"/>
      <c r="F91" s="13"/>
      <c r="G91" s="13"/>
      <c r="H91" s="37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374"/>
      <c r="V91" s="374"/>
      <c r="W91" s="374"/>
    </row>
    <row r="92" spans="2:23" ht="25.5" customHeight="1">
      <c r="B92" s="13"/>
      <c r="C92" s="13"/>
      <c r="D92" s="13"/>
      <c r="E92" s="13"/>
      <c r="F92" s="13"/>
      <c r="G92" s="13"/>
      <c r="H92" s="37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374"/>
      <c r="V92" s="374"/>
      <c r="W92" s="374"/>
    </row>
    <row r="93" spans="2:23" ht="25.5" customHeight="1">
      <c r="B93" s="13"/>
      <c r="C93" s="13"/>
      <c r="D93" s="13"/>
      <c r="E93" s="13"/>
      <c r="F93" s="13"/>
      <c r="G93" s="13"/>
      <c r="H93" s="37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374"/>
      <c r="V93" s="374"/>
      <c r="W93" s="374"/>
    </row>
    <row r="94" spans="2:23" ht="25.5" customHeight="1">
      <c r="B94" s="13"/>
      <c r="C94" s="13"/>
      <c r="D94" s="13"/>
      <c r="E94" s="13"/>
      <c r="F94" s="13"/>
      <c r="G94" s="13"/>
      <c r="H94" s="37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374"/>
      <c r="V94" s="374"/>
      <c r="W94" s="374"/>
    </row>
    <row r="95" spans="2:23" ht="25.5" customHeight="1">
      <c r="B95" s="13"/>
      <c r="C95" s="13"/>
      <c r="D95" s="13"/>
      <c r="E95" s="13"/>
      <c r="F95" s="13"/>
      <c r="G95" s="13"/>
      <c r="H95" s="37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374"/>
      <c r="V95" s="374"/>
      <c r="W95" s="374"/>
    </row>
    <row r="96" spans="2:23" ht="25.5" customHeight="1">
      <c r="B96" s="13"/>
      <c r="C96" s="13"/>
      <c r="D96" s="13"/>
      <c r="E96" s="13"/>
      <c r="F96" s="13"/>
      <c r="G96" s="13"/>
      <c r="H96" s="37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374"/>
      <c r="V96" s="374"/>
      <c r="W96" s="374"/>
    </row>
    <row r="97" spans="2:23" ht="25.5" customHeight="1">
      <c r="B97" s="13"/>
      <c r="C97" s="13"/>
      <c r="D97" s="13"/>
      <c r="E97" s="13"/>
      <c r="F97" s="13"/>
      <c r="G97" s="13"/>
      <c r="H97" s="37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374"/>
      <c r="V97" s="374"/>
      <c r="W97" s="374"/>
    </row>
    <row r="98" spans="2:23" ht="25.5" customHeight="1">
      <c r="B98" s="13"/>
      <c r="C98" s="13"/>
      <c r="D98" s="13"/>
      <c r="E98" s="13"/>
      <c r="F98" s="13"/>
      <c r="G98" s="13"/>
      <c r="H98" s="37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374"/>
      <c r="V98" s="374"/>
      <c r="W98" s="374"/>
    </row>
    <row r="99" spans="2:23" ht="25.5" customHeight="1">
      <c r="B99" s="13"/>
      <c r="C99" s="13"/>
      <c r="D99" s="13"/>
      <c r="E99" s="13"/>
      <c r="F99" s="13"/>
      <c r="G99" s="13"/>
      <c r="H99" s="37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374"/>
      <c r="V99" s="374"/>
      <c r="W99" s="374"/>
    </row>
    <row r="100" spans="2:23" ht="25.5" customHeight="1">
      <c r="B100" s="13"/>
      <c r="C100" s="13"/>
      <c r="D100" s="13"/>
      <c r="E100" s="13"/>
      <c r="F100" s="13"/>
      <c r="G100" s="13"/>
      <c r="H100" s="37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374"/>
      <c r="V100" s="374"/>
      <c r="W100" s="374"/>
    </row>
    <row r="101" spans="2:23" ht="25.5" customHeight="1">
      <c r="B101" s="13"/>
      <c r="C101" s="13"/>
      <c r="D101" s="13"/>
      <c r="E101" s="13"/>
      <c r="F101" s="13"/>
      <c r="G101" s="13"/>
      <c r="H101" s="37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374"/>
      <c r="V101" s="374"/>
      <c r="W101" s="374"/>
    </row>
    <row r="102" spans="2:23" ht="25.5" customHeight="1">
      <c r="B102" s="13"/>
      <c r="C102" s="13"/>
      <c r="D102" s="13"/>
      <c r="E102" s="13"/>
      <c r="F102" s="13"/>
      <c r="G102" s="13"/>
      <c r="H102" s="37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374"/>
      <c r="V102" s="374"/>
      <c r="W102" s="374"/>
    </row>
    <row r="103" spans="2:23" ht="25.5" customHeight="1">
      <c r="B103" s="13"/>
      <c r="C103" s="13"/>
      <c r="D103" s="13"/>
      <c r="E103" s="13"/>
      <c r="F103" s="13"/>
      <c r="G103" s="13"/>
      <c r="H103" s="37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374"/>
      <c r="V103" s="374"/>
      <c r="W103" s="374"/>
    </row>
    <row r="104" spans="2:23" ht="25.5" customHeight="1">
      <c r="B104" s="13"/>
      <c r="C104" s="13"/>
      <c r="D104" s="13"/>
      <c r="E104" s="13"/>
      <c r="F104" s="13"/>
      <c r="G104" s="13"/>
      <c r="H104" s="37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374"/>
      <c r="V104" s="374"/>
      <c r="W104" s="374"/>
    </row>
    <row r="105" spans="2:23" ht="25.5" customHeight="1">
      <c r="B105" s="13"/>
      <c r="C105" s="13"/>
      <c r="D105" s="13"/>
      <c r="E105" s="13"/>
      <c r="F105" s="13"/>
      <c r="G105" s="13"/>
      <c r="H105" s="37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374"/>
      <c r="V105" s="374"/>
      <c r="W105" s="374"/>
    </row>
    <row r="106" spans="2:23" ht="25.5" customHeight="1">
      <c r="B106" s="13"/>
      <c r="C106" s="13"/>
      <c r="D106" s="13"/>
      <c r="E106" s="13"/>
      <c r="F106" s="13"/>
      <c r="G106" s="13"/>
      <c r="H106" s="37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374"/>
      <c r="V106" s="374"/>
      <c r="W106" s="374"/>
    </row>
    <row r="107" spans="2:23" ht="25.5" customHeight="1">
      <c r="B107" s="13"/>
      <c r="C107" s="13"/>
      <c r="D107" s="13"/>
      <c r="E107" s="13"/>
      <c r="F107" s="13"/>
      <c r="G107" s="13"/>
      <c r="H107" s="37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374"/>
      <c r="V107" s="374"/>
      <c r="W107" s="374"/>
    </row>
    <row r="108" spans="2:23" ht="25.5" customHeight="1">
      <c r="B108" s="13"/>
      <c r="C108" s="13"/>
      <c r="D108" s="13"/>
      <c r="E108" s="13"/>
      <c r="F108" s="13"/>
      <c r="G108" s="13"/>
      <c r="H108" s="37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374"/>
      <c r="V108" s="374"/>
      <c r="W108" s="374"/>
    </row>
    <row r="109" spans="2:23" ht="25.5" customHeight="1">
      <c r="B109" s="13"/>
      <c r="C109" s="13"/>
      <c r="D109" s="13"/>
      <c r="E109" s="13"/>
      <c r="F109" s="13"/>
      <c r="G109" s="13"/>
      <c r="H109" s="37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374"/>
      <c r="V109" s="374"/>
      <c r="W109" s="374"/>
    </row>
    <row r="110" spans="2:23" ht="25.5" customHeight="1">
      <c r="B110" s="13"/>
      <c r="C110" s="13"/>
      <c r="D110" s="13"/>
      <c r="E110" s="13"/>
      <c r="F110" s="13"/>
      <c r="G110" s="13"/>
      <c r="H110" s="37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374"/>
      <c r="V110" s="374"/>
      <c r="W110" s="374"/>
    </row>
    <row r="111" spans="2:23" ht="25.5" customHeight="1">
      <c r="B111" s="13"/>
      <c r="C111" s="13"/>
      <c r="D111" s="13"/>
      <c r="E111" s="13"/>
      <c r="F111" s="13"/>
      <c r="G111" s="13"/>
      <c r="H111" s="37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374"/>
      <c r="V111" s="374"/>
      <c r="W111" s="374"/>
    </row>
    <row r="112" spans="2:23" ht="25.5" customHeight="1">
      <c r="B112" s="13"/>
      <c r="C112" s="13"/>
      <c r="D112" s="13"/>
      <c r="E112" s="13"/>
      <c r="F112" s="13"/>
      <c r="G112" s="13"/>
      <c r="H112" s="37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374"/>
      <c r="V112" s="374"/>
      <c r="W112" s="374"/>
    </row>
    <row r="113" spans="2:23" ht="25.5" customHeight="1">
      <c r="B113" s="13"/>
      <c r="C113" s="13"/>
      <c r="D113" s="13"/>
      <c r="E113" s="13"/>
      <c r="F113" s="13"/>
      <c r="G113" s="13"/>
      <c r="H113" s="37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374"/>
      <c r="V113" s="374"/>
      <c r="W113" s="374"/>
    </row>
    <row r="114" spans="2:23" ht="25.5" customHeight="1">
      <c r="B114" s="13"/>
      <c r="C114" s="13"/>
      <c r="D114" s="13"/>
      <c r="E114" s="13"/>
      <c r="F114" s="13"/>
      <c r="G114" s="13"/>
      <c r="H114" s="37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374"/>
      <c r="V114" s="374"/>
      <c r="W114" s="374"/>
    </row>
    <row r="115" spans="2:23" ht="25.5" customHeight="1">
      <c r="B115" s="13"/>
      <c r="C115" s="13"/>
      <c r="D115" s="13"/>
      <c r="E115" s="13"/>
      <c r="F115" s="13"/>
      <c r="G115" s="13"/>
      <c r="H115" s="37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374"/>
      <c r="V115" s="374"/>
      <c r="W115" s="374"/>
    </row>
    <row r="116" spans="2:23" ht="25.5" customHeight="1">
      <c r="B116" s="13"/>
      <c r="C116" s="13"/>
      <c r="D116" s="13"/>
      <c r="E116" s="13"/>
      <c r="F116" s="13"/>
      <c r="G116" s="13"/>
      <c r="H116" s="37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374"/>
      <c r="V116" s="374"/>
      <c r="W116" s="374"/>
    </row>
    <row r="117" spans="2:23" ht="25.5" customHeight="1">
      <c r="B117" s="13"/>
      <c r="C117" s="13"/>
      <c r="D117" s="13"/>
      <c r="E117" s="13"/>
      <c r="F117" s="13"/>
      <c r="G117" s="13"/>
      <c r="H117" s="37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374"/>
      <c r="V117" s="374"/>
      <c r="W117" s="374"/>
    </row>
    <row r="118" spans="2:23" ht="25.5" customHeight="1">
      <c r="B118" s="13"/>
      <c r="C118" s="13"/>
      <c r="D118" s="13"/>
      <c r="E118" s="13"/>
      <c r="F118" s="13"/>
      <c r="G118" s="13"/>
      <c r="H118" s="37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374"/>
      <c r="V118" s="374"/>
      <c r="W118" s="374"/>
    </row>
    <row r="119" spans="2:23" ht="25.5" customHeight="1">
      <c r="B119" s="13"/>
      <c r="C119" s="13"/>
      <c r="D119" s="13"/>
      <c r="E119" s="13"/>
      <c r="F119" s="13"/>
      <c r="G119" s="13"/>
      <c r="H119" s="37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374"/>
      <c r="V119" s="374"/>
      <c r="W119" s="374"/>
    </row>
    <row r="120" spans="2:23" ht="25.5" customHeight="1">
      <c r="B120" s="13"/>
      <c r="C120" s="13"/>
      <c r="D120" s="13"/>
      <c r="E120" s="13"/>
      <c r="F120" s="13"/>
      <c r="G120" s="13"/>
      <c r="H120" s="37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374"/>
      <c r="V120" s="374"/>
      <c r="W120" s="374"/>
    </row>
    <row r="121" spans="2:23" ht="25.5" customHeight="1">
      <c r="B121" s="13"/>
      <c r="C121" s="13"/>
      <c r="D121" s="13"/>
      <c r="E121" s="13"/>
      <c r="F121" s="13"/>
      <c r="G121" s="13"/>
      <c r="H121" s="37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374"/>
      <c r="V121" s="374"/>
      <c r="W121" s="374"/>
    </row>
    <row r="122" spans="2:23" ht="25.5" customHeight="1">
      <c r="B122" s="13"/>
      <c r="C122" s="13"/>
      <c r="D122" s="13"/>
      <c r="E122" s="13"/>
      <c r="F122" s="13"/>
      <c r="G122" s="13"/>
      <c r="H122" s="37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374"/>
      <c r="V122" s="374"/>
      <c r="W122" s="374"/>
    </row>
    <row r="123" spans="2:23" ht="15.75" customHeight="1"/>
    <row r="124" spans="2:23" ht="15.75" customHeight="1"/>
    <row r="125" spans="2:23" ht="15.75" customHeight="1"/>
    <row r="126" spans="2:23" ht="15.75" customHeight="1"/>
    <row r="127" spans="2:23" ht="15.75" customHeight="1"/>
    <row r="128" spans="2:23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</sheetData>
  <dataValidations count="2">
    <dataValidation type="list" allowBlank="1" sqref="W6:W16" xr:uid="{00000000-0002-0000-0200-000000000000}">
      <formula1>"Selecione CBO Funcao,5143-25 TRAB-MANUT-PRED,5174-10 PORTEIRO,5173-30 VIGILANTE,5143-20 AUX-LIMPEZA,5132-05 AUX-COZINHA,5135-05 COZINHEIRA,6410-15 TRATORISTA,6210-05 TRABAL-AGROPECUARIO,3341-10 MONITOR,2614-25 INTERPRETE-DE-LIBRAS,4110-05 AUX-ADMINISTRATI"&amp;"VO,5162-10 INSTRUTOR, novo nome 1, novo nome 2, novo nome 3"</formula1>
    </dataValidation>
    <dataValidation type="list" allowBlank="1" sqref="W5" xr:uid="{00000000-0002-0000-0200-000001000000}">
      <formula1>"5143-25 TRAB-MANUT-PRED,5174-10 PORTEIRO,5173-30 VIGILANTE,5143-20 AUX-LIMPEZA,5132-05 AUX-COZINHA,5135-05 COZINHEIRA,6410-15 TRATORISTA,6210-05 TRABAL-AGROPECUARIO,3341-10 MONITOR,2614-25 INTERPRETE-DE-LIBRAS,4110-05 AUX-ADMINISTRATIVO,5162-10 INSTRUTOR"</formula1>
    </dataValidation>
  </dataValidations>
  <pageMargins left="0.511811024" right="0.511811024" top="0.78740157499999996" bottom="0.78740157499999996" header="0" footer="0"/>
  <pageSetup paperSize="9" scale="8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Z1000"/>
  <sheetViews>
    <sheetView view="pageBreakPreview" topLeftCell="A62" zoomScale="60" zoomScaleNormal="100" workbookViewId="0"/>
  </sheetViews>
  <sheetFormatPr defaultColWidth="14.453125" defaultRowHeight="15" customHeight="1"/>
  <cols>
    <col min="1" max="1" width="2.453125" customWidth="1"/>
    <col min="2" max="2" width="62.453125" customWidth="1"/>
    <col min="3" max="8" width="52.453125" customWidth="1"/>
    <col min="9" max="9" width="51" customWidth="1"/>
    <col min="10" max="11" width="39.7265625" customWidth="1"/>
    <col min="12" max="14" width="46.7265625" customWidth="1"/>
    <col min="15" max="15" width="9.08984375" customWidth="1"/>
  </cols>
  <sheetData>
    <row r="1" spans="1:15" ht="7.5" customHeight="1">
      <c r="A1" s="426" t="b">
        <v>1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2.75" customHeight="1">
      <c r="A2" s="426"/>
      <c r="B2" s="427"/>
      <c r="C2" s="426"/>
      <c r="D2" s="428"/>
      <c r="E2" s="428"/>
      <c r="F2" s="426"/>
      <c r="G2" s="426"/>
      <c r="H2" s="426"/>
      <c r="I2" s="426"/>
      <c r="J2" s="426" t="b">
        <v>1</v>
      </c>
      <c r="K2" s="426"/>
      <c r="L2" s="426"/>
      <c r="M2" s="426"/>
      <c r="N2" s="426"/>
      <c r="O2" s="426"/>
    </row>
    <row r="3" spans="1:15" ht="12.75" customHeight="1">
      <c r="A3" s="426"/>
      <c r="B3" s="427" t="s">
        <v>108</v>
      </c>
      <c r="C3" s="428" t="s">
        <v>184</v>
      </c>
      <c r="D3" s="428"/>
      <c r="E3" s="428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ht="12.75" customHeight="1">
      <c r="A4" s="426"/>
      <c r="B4" s="427"/>
      <c r="C4" s="428" t="s">
        <v>185</v>
      </c>
      <c r="D4" s="428"/>
      <c r="E4" s="428"/>
      <c r="F4" s="426"/>
      <c r="G4" s="426"/>
      <c r="H4" s="426"/>
      <c r="I4" s="426"/>
      <c r="J4" s="426"/>
      <c r="K4" s="426"/>
      <c r="L4" s="426"/>
      <c r="M4" s="426"/>
      <c r="N4" s="426"/>
      <c r="O4" s="426"/>
    </row>
    <row r="5" spans="1:15" ht="12.75" customHeight="1">
      <c r="A5" s="426"/>
      <c r="B5" s="427"/>
      <c r="C5" s="428" t="s">
        <v>186</v>
      </c>
      <c r="D5" s="429"/>
      <c r="E5" s="429"/>
      <c r="F5" s="426"/>
      <c r="G5" s="426"/>
      <c r="H5" s="426"/>
      <c r="I5" s="426"/>
      <c r="J5" s="426"/>
      <c r="K5" s="426"/>
      <c r="L5" s="426"/>
      <c r="M5" s="426"/>
      <c r="N5" s="426"/>
      <c r="O5" s="426"/>
    </row>
    <row r="6" spans="1:15" ht="12.75" customHeight="1">
      <c r="A6" s="426"/>
      <c r="B6" s="427"/>
      <c r="C6" s="428"/>
      <c r="D6" s="428"/>
      <c r="E6" s="428"/>
      <c r="F6" s="426"/>
      <c r="G6" s="426"/>
      <c r="H6" s="426"/>
      <c r="I6" s="426"/>
      <c r="J6" s="426"/>
      <c r="K6" s="426"/>
      <c r="L6" s="426"/>
      <c r="M6" s="426"/>
      <c r="N6" s="426"/>
      <c r="O6" s="426"/>
    </row>
    <row r="7" spans="1:15" ht="12.75" customHeight="1">
      <c r="A7" s="426"/>
      <c r="B7" s="427"/>
      <c r="C7" s="428"/>
      <c r="D7" s="428"/>
      <c r="E7" s="428"/>
      <c r="F7" s="426"/>
      <c r="G7" s="426"/>
      <c r="H7" s="426"/>
      <c r="I7" s="426"/>
      <c r="J7" s="426"/>
      <c r="K7" s="426"/>
      <c r="L7" s="426"/>
      <c r="M7" s="426"/>
      <c r="N7" s="426"/>
      <c r="O7" s="426"/>
    </row>
    <row r="8" spans="1:15" ht="12.75" customHeight="1">
      <c r="A8" s="426"/>
      <c r="B8" s="427"/>
      <c r="C8" s="428"/>
      <c r="D8" s="428"/>
      <c r="E8" s="428"/>
      <c r="F8" s="426"/>
      <c r="G8" s="426"/>
      <c r="H8" s="426"/>
      <c r="I8" s="426"/>
      <c r="J8" s="426"/>
      <c r="K8" s="426"/>
      <c r="L8" s="426"/>
      <c r="M8" s="426"/>
      <c r="N8" s="426"/>
      <c r="O8" s="426"/>
    </row>
    <row r="9" spans="1:15" ht="12.75" customHeight="1">
      <c r="A9" s="426"/>
      <c r="B9" s="1518" t="s">
        <v>187</v>
      </c>
      <c r="C9" s="1456"/>
      <c r="D9" s="1456"/>
      <c r="E9" s="1475"/>
      <c r="F9" s="426"/>
      <c r="G9" s="426"/>
      <c r="H9" s="426"/>
      <c r="I9" s="426"/>
      <c r="J9" s="426"/>
      <c r="K9" s="426"/>
      <c r="L9" s="426"/>
      <c r="M9" s="426"/>
      <c r="N9" s="426"/>
      <c r="O9" s="426"/>
    </row>
    <row r="10" spans="1:15" ht="12.75" customHeight="1">
      <c r="A10" s="426"/>
      <c r="B10" s="427"/>
      <c r="C10" s="427"/>
      <c r="D10" s="427"/>
      <c r="E10" s="427"/>
      <c r="F10" s="426"/>
      <c r="G10" s="426"/>
      <c r="H10" s="426"/>
      <c r="I10" s="426"/>
      <c r="J10" s="426"/>
      <c r="K10" s="426"/>
      <c r="L10" s="426"/>
      <c r="M10" s="426"/>
      <c r="N10" s="426"/>
      <c r="O10" s="426"/>
    </row>
    <row r="11" spans="1:15" ht="18.75" customHeight="1">
      <c r="A11" s="426"/>
      <c r="B11" s="430" t="s">
        <v>188</v>
      </c>
      <c r="C11" s="1519" t="str">
        <f>'CAMPUS.CONTRATANTE'!G5</f>
        <v xml:space="preserve">S E R V I Ç O S     =    CUIDADOR - INSTRUTOR - PSICOPEDAGOGO - MONITOR </v>
      </c>
      <c r="D11" s="1477"/>
      <c r="E11" s="1477"/>
      <c r="F11" s="426"/>
      <c r="G11" s="426"/>
      <c r="H11" s="426"/>
      <c r="I11" s="426"/>
      <c r="J11" s="426"/>
      <c r="K11" s="426"/>
      <c r="L11" s="426"/>
      <c r="M11" s="426"/>
      <c r="N11" s="426"/>
      <c r="O11" s="426"/>
    </row>
    <row r="12" spans="1:15" ht="12.75" customHeight="1">
      <c r="A12" s="426"/>
      <c r="B12" s="431" t="s">
        <v>189</v>
      </c>
      <c r="C12" s="1520"/>
      <c r="D12" s="1477"/>
      <c r="E12" s="1521"/>
      <c r="F12" s="426"/>
      <c r="G12" s="426"/>
      <c r="H12" s="426"/>
      <c r="I12" s="426"/>
      <c r="J12" s="426"/>
      <c r="K12" s="426"/>
      <c r="L12" s="426"/>
      <c r="M12" s="426"/>
      <c r="N12" s="426"/>
      <c r="O12" s="426"/>
    </row>
    <row r="13" spans="1:15" ht="12.75" customHeight="1">
      <c r="A13" s="426"/>
      <c r="B13" s="432" t="s">
        <v>190</v>
      </c>
      <c r="C13" s="1520"/>
      <c r="D13" s="1477"/>
      <c r="E13" s="1521"/>
      <c r="F13" s="426"/>
      <c r="G13" s="426"/>
      <c r="H13" s="426"/>
      <c r="I13" s="426"/>
      <c r="J13" s="426"/>
      <c r="K13" s="426"/>
      <c r="L13" s="426"/>
      <c r="M13" s="426"/>
      <c r="N13" s="426"/>
      <c r="O13" s="426"/>
    </row>
    <row r="14" spans="1:15" ht="23.25" customHeight="1">
      <c r="A14" s="433"/>
      <c r="B14" s="434" t="s">
        <v>191</v>
      </c>
      <c r="C14" s="1522" t="s">
        <v>76</v>
      </c>
      <c r="D14" s="1477"/>
      <c r="E14" s="1521"/>
      <c r="F14" s="435" t="s">
        <v>192</v>
      </c>
      <c r="G14" s="436"/>
      <c r="H14" s="436"/>
      <c r="I14" s="436"/>
      <c r="J14" s="436"/>
      <c r="K14" s="436"/>
      <c r="L14" s="436"/>
      <c r="M14" s="436"/>
      <c r="N14" s="436"/>
      <c r="O14" s="433"/>
    </row>
    <row r="15" spans="1:15" ht="12.75" customHeight="1">
      <c r="A15" s="426"/>
      <c r="B15" s="432" t="s">
        <v>193</v>
      </c>
      <c r="C15" s="1520"/>
      <c r="D15" s="1477"/>
      <c r="E15" s="1521"/>
      <c r="F15" s="426"/>
      <c r="G15" s="426"/>
      <c r="H15" s="426"/>
      <c r="I15" s="426"/>
      <c r="J15" s="426"/>
      <c r="K15" s="426"/>
      <c r="L15" s="426"/>
      <c r="M15" s="426"/>
      <c r="N15" s="426"/>
      <c r="O15" s="426"/>
    </row>
    <row r="16" spans="1:15" ht="12.75" customHeight="1">
      <c r="A16" s="426"/>
      <c r="B16" s="432" t="s">
        <v>194</v>
      </c>
      <c r="C16" s="1523"/>
      <c r="D16" s="1477"/>
      <c r="E16" s="1521"/>
      <c r="F16" s="426"/>
      <c r="G16" s="426"/>
      <c r="H16" s="426"/>
      <c r="I16" s="426"/>
      <c r="J16" s="426"/>
      <c r="K16" s="426"/>
      <c r="L16" s="426"/>
      <c r="M16" s="426"/>
      <c r="N16" s="426"/>
      <c r="O16" s="426"/>
    </row>
    <row r="17" spans="1:15" ht="12.75" customHeight="1">
      <c r="A17" s="426"/>
      <c r="B17" s="432" t="s">
        <v>195</v>
      </c>
      <c r="C17" s="1520"/>
      <c r="D17" s="1477"/>
      <c r="E17" s="1521"/>
      <c r="F17" s="426"/>
      <c r="G17" s="426"/>
      <c r="H17" s="426"/>
      <c r="I17" s="426"/>
      <c r="J17" s="426"/>
      <c r="K17" s="426"/>
      <c r="L17" s="426"/>
      <c r="M17" s="426"/>
      <c r="N17" s="426"/>
      <c r="O17" s="426"/>
    </row>
    <row r="18" spans="1:15" ht="12.75" customHeight="1">
      <c r="A18" s="426"/>
      <c r="B18" s="432" t="s">
        <v>196</v>
      </c>
      <c r="C18" s="1520"/>
      <c r="D18" s="1477"/>
      <c r="E18" s="1521"/>
      <c r="F18" s="426"/>
      <c r="G18" s="426"/>
      <c r="H18" s="426"/>
      <c r="I18" s="426"/>
      <c r="J18" s="426"/>
      <c r="K18" s="426"/>
      <c r="L18" s="426"/>
      <c r="M18" s="426"/>
      <c r="N18" s="426"/>
      <c r="O18" s="426"/>
    </row>
    <row r="19" spans="1:15" ht="12.75" customHeight="1">
      <c r="A19" s="426"/>
      <c r="B19" s="432" t="s">
        <v>197</v>
      </c>
      <c r="C19" s="1520"/>
      <c r="D19" s="1477"/>
      <c r="E19" s="1521"/>
      <c r="F19" s="426"/>
      <c r="G19" s="426"/>
      <c r="H19" s="426"/>
      <c r="I19" s="426"/>
      <c r="J19" s="426"/>
      <c r="K19" s="426"/>
      <c r="L19" s="426"/>
      <c r="M19" s="426"/>
      <c r="N19" s="426"/>
      <c r="O19" s="426"/>
    </row>
    <row r="20" spans="1:15" ht="12.75" customHeight="1">
      <c r="A20" s="426"/>
      <c r="B20" s="432" t="s">
        <v>198</v>
      </c>
      <c r="C20" s="437"/>
      <c r="D20" s="438"/>
      <c r="E20" s="439"/>
      <c r="F20" s="426"/>
      <c r="G20" s="426"/>
      <c r="H20" s="426"/>
      <c r="I20" s="426"/>
      <c r="J20" s="426"/>
      <c r="K20" s="426"/>
      <c r="L20" s="426"/>
      <c r="M20" s="426"/>
      <c r="N20" s="426"/>
      <c r="O20" s="426"/>
    </row>
    <row r="21" spans="1:15" ht="12.75" customHeight="1">
      <c r="A21" s="426"/>
      <c r="B21" s="432" t="s">
        <v>199</v>
      </c>
      <c r="C21" s="1520"/>
      <c r="D21" s="1477"/>
      <c r="E21" s="1521"/>
      <c r="F21" s="426"/>
      <c r="G21" s="426"/>
      <c r="H21" s="426"/>
      <c r="I21" s="426"/>
      <c r="J21" s="426"/>
      <c r="K21" s="426"/>
      <c r="L21" s="426"/>
      <c r="M21" s="426"/>
      <c r="N21" s="426"/>
      <c r="O21" s="426"/>
    </row>
    <row r="22" spans="1:15" ht="12.75" customHeight="1">
      <c r="A22" s="426"/>
      <c r="B22" s="432" t="s">
        <v>200</v>
      </c>
      <c r="C22" s="1526"/>
      <c r="D22" s="1477"/>
      <c r="E22" s="1521"/>
      <c r="F22" s="426"/>
      <c r="G22" s="426"/>
      <c r="H22" s="426"/>
      <c r="I22" s="426"/>
      <c r="J22" s="426"/>
      <c r="K22" s="426"/>
      <c r="L22" s="426"/>
      <c r="M22" s="426"/>
      <c r="N22" s="426"/>
      <c r="O22" s="426"/>
    </row>
    <row r="23" spans="1:15" ht="12.75" customHeight="1">
      <c r="A23" s="426"/>
      <c r="B23" s="432" t="s">
        <v>201</v>
      </c>
      <c r="C23" s="1527"/>
      <c r="D23" s="1528"/>
      <c r="E23" s="1529"/>
      <c r="F23" s="426"/>
      <c r="G23" s="426"/>
      <c r="H23" s="426"/>
      <c r="I23" s="426"/>
      <c r="J23" s="426"/>
      <c r="K23" s="426"/>
      <c r="L23" s="426"/>
      <c r="M23" s="426"/>
      <c r="N23" s="426"/>
      <c r="O23" s="426"/>
    </row>
    <row r="24" spans="1:15" ht="12.75" customHeight="1">
      <c r="A24" s="426"/>
      <c r="B24" s="440" t="s">
        <v>202</v>
      </c>
      <c r="C24" s="437"/>
      <c r="D24" s="439"/>
      <c r="E24" s="441"/>
      <c r="F24" s="426"/>
      <c r="G24" s="442"/>
      <c r="H24" s="442"/>
      <c r="I24" s="442"/>
      <c r="J24" s="442"/>
      <c r="K24" s="442"/>
      <c r="L24" s="426"/>
      <c r="M24" s="426"/>
      <c r="N24" s="426"/>
      <c r="O24" s="426"/>
    </row>
    <row r="25" spans="1:15" ht="12.75" customHeight="1">
      <c r="A25" s="426"/>
      <c r="B25" s="443"/>
      <c r="C25" s="443"/>
      <c r="D25" s="443"/>
      <c r="E25" s="443"/>
      <c r="F25" s="426"/>
      <c r="G25" s="442"/>
      <c r="H25" s="442"/>
      <c r="I25" s="442"/>
      <c r="J25" s="442"/>
      <c r="K25" s="442"/>
      <c r="L25" s="426"/>
      <c r="M25" s="426"/>
      <c r="N25" s="426"/>
      <c r="O25" s="426"/>
    </row>
    <row r="26" spans="1:15" ht="15.75" customHeight="1">
      <c r="A26" s="426"/>
      <c r="B26" s="1530" t="s">
        <v>203</v>
      </c>
      <c r="C26" s="1456"/>
      <c r="D26" s="1475"/>
      <c r="E26" s="1524" t="s">
        <v>204</v>
      </c>
      <c r="F26" s="1524" t="s">
        <v>205</v>
      </c>
      <c r="G26" s="444"/>
      <c r="H26" s="444"/>
      <c r="I26" s="444"/>
      <c r="J26" s="444"/>
      <c r="K26" s="445"/>
      <c r="L26" s="446"/>
      <c r="M26" s="446"/>
      <c r="N26" s="446"/>
      <c r="O26" s="426"/>
    </row>
    <row r="27" spans="1:15" ht="12.75" customHeight="1">
      <c r="A27" s="426"/>
      <c r="B27" s="426"/>
      <c r="C27" s="426"/>
      <c r="D27" s="426"/>
      <c r="E27" s="1525"/>
      <c r="F27" s="1525"/>
      <c r="G27" s="445"/>
      <c r="H27" s="445"/>
      <c r="I27" s="445"/>
      <c r="J27" s="445"/>
      <c r="K27" s="445"/>
      <c r="L27" s="446"/>
      <c r="M27" s="446"/>
      <c r="N27" s="446"/>
      <c r="O27" s="426"/>
    </row>
    <row r="28" spans="1:15" ht="21.75" customHeight="1">
      <c r="A28" s="447"/>
      <c r="B28" s="448" t="s">
        <v>206</v>
      </c>
      <c r="C28" s="1533">
        <v>1</v>
      </c>
      <c r="D28" s="449"/>
      <c r="E28" s="1535">
        <v>1.6500000000000001E-2</v>
      </c>
      <c r="F28" s="1535">
        <v>7.5999999999999998E-2</v>
      </c>
      <c r="G28" s="450"/>
      <c r="H28" s="451"/>
      <c r="I28" s="451"/>
      <c r="J28" s="451"/>
      <c r="K28" s="451"/>
      <c r="L28" s="452"/>
      <c r="M28" s="452"/>
      <c r="N28" s="452"/>
      <c r="O28" s="447"/>
    </row>
    <row r="29" spans="1:15" ht="21.75" customHeight="1">
      <c r="A29" s="447"/>
      <c r="B29" s="448" t="s">
        <v>207</v>
      </c>
      <c r="C29" s="1534"/>
      <c r="D29" s="453"/>
      <c r="E29" s="1525"/>
      <c r="F29" s="1525"/>
      <c r="G29" s="450"/>
      <c r="H29" s="451"/>
      <c r="I29" s="451"/>
      <c r="J29" s="451"/>
      <c r="K29" s="451"/>
      <c r="L29" s="452"/>
      <c r="M29" s="452"/>
      <c r="N29" s="452"/>
      <c r="O29" s="447"/>
    </row>
    <row r="30" spans="1:15" ht="12.75" customHeight="1">
      <c r="A30" s="426"/>
      <c r="B30" s="454"/>
      <c r="C30" s="455"/>
      <c r="D30" s="455"/>
      <c r="E30" s="426"/>
      <c r="F30" s="426"/>
      <c r="G30" s="445"/>
      <c r="H30" s="445"/>
      <c r="I30" s="445"/>
      <c r="J30" s="445"/>
      <c r="K30" s="445"/>
      <c r="L30" s="446"/>
      <c r="M30" s="446"/>
      <c r="N30" s="446"/>
      <c r="O30" s="426"/>
    </row>
    <row r="31" spans="1:15" ht="12.75" customHeight="1">
      <c r="A31" s="426"/>
      <c r="B31" s="1532" t="s">
        <v>208</v>
      </c>
      <c r="C31" s="1456"/>
      <c r="D31" s="1475"/>
      <c r="E31" s="456"/>
      <c r="F31" s="456"/>
      <c r="G31" s="456"/>
      <c r="H31" s="456"/>
      <c r="I31" s="456"/>
      <c r="J31" s="457"/>
      <c r="K31" s="457"/>
      <c r="L31" s="458"/>
      <c r="M31" s="458"/>
      <c r="N31" s="458"/>
      <c r="O31" s="426"/>
    </row>
    <row r="32" spans="1:15" ht="12.75" customHeight="1">
      <c r="A32" s="426"/>
      <c r="B32" s="459"/>
      <c r="C32" s="459"/>
      <c r="D32" s="459"/>
      <c r="E32" s="459"/>
      <c r="F32" s="459"/>
      <c r="G32" s="459"/>
      <c r="H32" s="459"/>
      <c r="I32" s="459"/>
      <c r="J32" s="460"/>
      <c r="K32" s="460"/>
      <c r="L32" s="459"/>
      <c r="M32" s="459"/>
      <c r="N32" s="459"/>
      <c r="O32" s="426"/>
    </row>
    <row r="33" spans="1:20" ht="42" customHeight="1">
      <c r="A33" s="426"/>
      <c r="B33" s="454" t="s">
        <v>209</v>
      </c>
      <c r="C33" s="461" t="str">
        <f>'CAMPUS.CONTRATANTE'!G6</f>
        <v>5162_20_CUIDADOR-de-ALUNOS_40h</v>
      </c>
      <c r="D33" s="461" t="str">
        <f>'CAMPUS.CONTRATANTE'!X6</f>
        <v>5162_20_CUIDADOR-de-ALUNOS_20h</v>
      </c>
      <c r="E33" s="461" t="str">
        <f>'CAMPUS.CONTRATANTE'!AO6</f>
        <v>3341-05_INSTRUTOR-de-ALUNOS_40hs</v>
      </c>
      <c r="F33" s="461" t="str">
        <f>'CAMPUS.CONTRATANTE'!BF6</f>
        <v>3341-05_INSTRUTOR-de-ALUNOS_20hs</v>
      </c>
      <c r="G33" s="461" t="str">
        <f>'CAMPUS.CONTRATANTE'!BW6</f>
        <v>2394-25_PSICOPEGAGOGO_40h</v>
      </c>
      <c r="H33" s="461" t="str">
        <f>'CAMPUS.CONTRATANTE'!CN6</f>
        <v>2394-25_PSICOPEGAGOGO_20h</v>
      </c>
      <c r="I33" s="461" t="str">
        <f>'CAMPUS.CONTRATANTE'!DE6</f>
        <v>3341-10_MONITOR-de-ALUNOS_40h</v>
      </c>
      <c r="J33" s="462" t="str">
        <f>'CAMPUS.CONTRATANTE'!DV6</f>
        <v>NAO TEM MAIS POSTO 55</v>
      </c>
      <c r="K33" s="462" t="str">
        <f>'CAMPUS.CONTRATANTE'!EM6</f>
        <v>NAO TEM MAIS POSTO 66</v>
      </c>
      <c r="L33" s="462" t="str">
        <f>'CAMPUS.CONTRATANTE'!FD6</f>
        <v>A NÃO TEM MAIS POSTOS-77</v>
      </c>
      <c r="M33" s="462" t="str">
        <f>'CAMPUS.CONTRATANTE'!FU6</f>
        <v>A NÃO TEM MAIS POSTOS-88</v>
      </c>
      <c r="N33" s="462" t="str">
        <f>'CAMPUS.CONTRATANTE'!GL6</f>
        <v>A NÃO TEM MAIS POSTOS-99</v>
      </c>
      <c r="O33" s="462"/>
      <c r="P33" s="461"/>
      <c r="Q33" s="461"/>
      <c r="R33" s="461"/>
      <c r="S33" s="461"/>
      <c r="T33" s="461"/>
    </row>
    <row r="34" spans="1:20" ht="8.25" customHeight="1">
      <c r="A34" s="426"/>
      <c r="B34" s="454"/>
      <c r="C34" s="463"/>
      <c r="D34" s="463"/>
      <c r="E34" s="463"/>
      <c r="F34" s="463"/>
      <c r="G34" s="463"/>
      <c r="H34" s="463"/>
      <c r="I34" s="463"/>
      <c r="J34" s="464"/>
      <c r="K34" s="464"/>
      <c r="L34" s="464"/>
      <c r="M34" s="464"/>
      <c r="N34" s="464"/>
      <c r="O34" s="464"/>
    </row>
    <row r="35" spans="1:20" ht="15" customHeight="1">
      <c r="A35" s="426"/>
      <c r="B35" s="454" t="s">
        <v>210</v>
      </c>
      <c r="C35" s="465" t="str">
        <f>VLOOKUP(C14,'CAMPUS.CONTRATANTE'!$D$10:$HD$24,6,0)</f>
        <v>RS000041/2026</v>
      </c>
      <c r="D35" s="465" t="str">
        <f>VLOOKUP(C14,'CAMPUS.CONTRATANTE'!$D$10:$HD$24,23,0)</f>
        <v>RS000041/2026</v>
      </c>
      <c r="E35" s="465" t="str">
        <f>VLOOKUP(C14,'CAMPUS.CONTRATANTE'!$D$10:$HD$24,40,0)</f>
        <v>RS001208/2026</v>
      </c>
      <c r="F35" s="465" t="str">
        <f>VLOOKUP(C14,'CAMPUS.CONTRATANTE'!$D$10:$HD$24,57,0)</f>
        <v>RS001208/2026</v>
      </c>
      <c r="G35" s="465" t="str">
        <f>VLOOKUP(C14,'CAMPUS.CONTRATANTE'!$D$10:$HD$24,74,0)</f>
        <v>RS001208/2026</v>
      </c>
      <c r="H35" s="465" t="str">
        <f>VLOOKUP(C14,'CAMPUS.CONTRATANTE'!$D$10:$HD$24,91,0)</f>
        <v>RS001208/2026</v>
      </c>
      <c r="I35" s="465" t="str">
        <f>VLOOKUP(C14,'CAMPUS.CONTRATANTE'!$D$10:$HD$24,108,0)</f>
        <v>RS000041/2026</v>
      </c>
      <c r="J35" s="466" t="str">
        <f>VLOOKUP(C14,'CAMPUS.CONTRATANTE'!$D$10:$HD$24,125,0)</f>
        <v>RS004627/2024</v>
      </c>
      <c r="K35" s="466" t="str">
        <f>VLOOKUP(C14,'CAMPUS.CONTRATANTE'!$D$10:$HD$24,142,0)</f>
        <v>RS004627/2024</v>
      </c>
      <c r="L35" s="466" t="str">
        <f>VLOOKUP(C14,'CAMPUS.CONTRATANTE'!$D$10:$HD$24,159,0)</f>
        <v>RS004627/2024</v>
      </c>
      <c r="M35" s="466" t="str">
        <f>VLOOKUP(C14,'CAMPUS.CONTRATANTE'!$D$10:$HD$24,176,0)</f>
        <v>RS000947/2019-</v>
      </c>
      <c r="N35" s="466" t="str">
        <f>VLOOKUP(C14,'CAMPUS.CONTRATANTE'!$D$10:$HD$24,193,0)</f>
        <v>RS000947/2019-</v>
      </c>
      <c r="O35" s="466"/>
    </row>
    <row r="36" spans="1:20" ht="15" customHeight="1">
      <c r="A36" s="426"/>
      <c r="B36" s="454" t="s">
        <v>211</v>
      </c>
      <c r="C36" s="459" t="str">
        <f>VLOOKUP(C35,'DADOS-CADASTRAIS'!$C$6:$O$71,3,0)</f>
        <v>01 de JANEIRO</v>
      </c>
      <c r="D36" s="459" t="str">
        <f>VLOOKUP(D35,'DADOS-CADASTRAIS'!$C$6:$O$71,3,0)</f>
        <v>01 de JANEIRO</v>
      </c>
      <c r="E36" s="459" t="str">
        <f>VLOOKUP(E35,'DADOS-CADASTRAIS'!$C$6:$O$71,3,0)</f>
        <v xml:space="preserve">01 de ABRIL </v>
      </c>
      <c r="F36" s="459" t="str">
        <f>VLOOKUP(F35,'DADOS-CADASTRAIS'!$C$6:$O$71,3,0)</f>
        <v xml:space="preserve">01 de ABRIL </v>
      </c>
      <c r="G36" s="459" t="str">
        <f>VLOOKUP(G35,'DADOS-CADASTRAIS'!$C$6:$O$71,3,0)</f>
        <v xml:space="preserve">01 de ABRIL </v>
      </c>
      <c r="H36" s="459" t="str">
        <f>VLOOKUP(H35,'DADOS-CADASTRAIS'!$C$6:$O$71,3,0)</f>
        <v xml:space="preserve">01 de ABRIL </v>
      </c>
      <c r="I36" s="459" t="str">
        <f>VLOOKUP(I35,'DADOS-CADASTRAIS'!$C$6:$O$71,3,0)</f>
        <v>01 de JANEIRO</v>
      </c>
      <c r="J36" s="460" t="str">
        <f>VLOOKUP(J35,'DADOS-CADASTRAIS'!$C$6:$O$71,3,0)</f>
        <v>01 de JUNHO</v>
      </c>
      <c r="K36" s="460" t="str">
        <f>VLOOKUP(K35,'DADOS-CADASTRAIS'!$C$6:$O$71,3,0)</f>
        <v>01 de JUNHO</v>
      </c>
      <c r="L36" s="460" t="e">
        <f>VLOOKUP(L35,'DADOS-CADASTRAIS'!$C$6:$F$6,3,0)</f>
        <v>#N/A</v>
      </c>
      <c r="M36" s="467" t="str">
        <f>VLOOKUP(M35,'DADOS-CADASTRAIS'!$C$6:$O$71,3,0)</f>
        <v>01 de FEVEREIRO</v>
      </c>
      <c r="N36" s="467" t="str">
        <f>VLOOKUP(N35,'DADOS-CADASTRAIS'!$C$6:$O$71,3,0)</f>
        <v>01 de FEVEREIRO</v>
      </c>
      <c r="O36" s="460"/>
    </row>
    <row r="37" spans="1:20" ht="18.75" customHeight="1">
      <c r="A37" s="426"/>
      <c r="B37" s="468" t="s">
        <v>212</v>
      </c>
      <c r="C37" s="469">
        <f>VLOOKUP(C14,'CAMPUS.CONTRATANTE'!$D$10:$HD$24,7,0)</f>
        <v>2161.0500000000002</v>
      </c>
      <c r="D37" s="469">
        <f>VLOOKUP(C14,'CAMPUS.CONTRATANTE'!$D$10:$HD$24,24,0)</f>
        <v>2161.0500000000002</v>
      </c>
      <c r="E37" s="469">
        <f>VLOOKUP(C14,'CAMPUS.CONTRATANTE'!$D$10:$HD$24,41,0)</f>
        <v>2190.98</v>
      </c>
      <c r="F37" s="469">
        <f>VLOOKUP(C14,'CAMPUS.CONTRATANTE'!$D$10:$HD$24,58,0)</f>
        <v>2190.98</v>
      </c>
      <c r="G37" s="469">
        <f>VLOOKUP(C14,'CAMPUS.CONTRATANTE'!$D$10:$HD$24,75,0)</f>
        <v>5637.96</v>
      </c>
      <c r="H37" s="469">
        <f>VLOOKUP(C14,'CAMPUS.CONTRATANTE'!$D$10:$HD$24,92,0)</f>
        <v>5637.96</v>
      </c>
      <c r="I37" s="469">
        <f>VLOOKUP(C14,'CAMPUS.CONTRATANTE'!$D$10:$HD$24,109,0)</f>
        <v>2161.0500000000002</v>
      </c>
      <c r="J37" s="470">
        <f>VLOOKUP(C14,'CAMPUS.CONTRATANTE'!$D$10:$HD$24,126,0)</f>
        <v>1854.91</v>
      </c>
      <c r="K37" s="470">
        <f>VLOOKUP(C14,'CAMPUS.CONTRATANTE'!$D$10:$HD$24,143,0)</f>
        <v>2925.11</v>
      </c>
      <c r="L37" s="470">
        <f>VLOOKUP(C14,'CAMPUS.CONTRATANTE'!$D$10:$HD$24,160,0)</f>
        <v>1741.45</v>
      </c>
      <c r="M37" s="470">
        <f>VLOOKUP(C14,'CAMPUS.CONTRATANTE'!$D$10:$HD$24,177,0)</f>
        <v>0</v>
      </c>
      <c r="N37" s="470">
        <f>VLOOKUP(C14,'CAMPUS.CONTRATANTE'!$D$10:$HD$24,194,0)</f>
        <v>0</v>
      </c>
      <c r="O37" s="470"/>
    </row>
    <row r="38" spans="1:20" ht="15" customHeight="1">
      <c r="A38" s="426"/>
      <c r="B38" s="454" t="s">
        <v>213</v>
      </c>
      <c r="C38" s="471" t="str">
        <f>VLOOKUP(C14,'CAMPUS.CONTRATANTE'!$D$10:$HD$24,9,0)</f>
        <v>SEM ADICIONAL DE FUNÇÃO</v>
      </c>
      <c r="D38" s="471" t="str">
        <f>VLOOKUP(C14,'CAMPUS.CONTRATANTE'!$D$10:$HD$24,26,0)</f>
        <v>SEM ADICIONAL DE FUNÇÃO</v>
      </c>
      <c r="E38" s="471" t="str">
        <f>VLOOKUP(C14,'CAMPUS.CONTRATANTE'!$D$10:$HD$24,43,0)</f>
        <v>SEM ADICIONAL DE FUNÇÃO</v>
      </c>
      <c r="F38" s="471" t="str">
        <f>VLOOKUP(C14,'CAMPUS.CONTRATANTE'!$D$10:$HD$24,60,0)</f>
        <v>SEM ADICIONAL DE FUNÇÃO</v>
      </c>
      <c r="G38" s="471" t="str">
        <f>VLOOKUP(C14,'CAMPUS.CONTRATANTE'!$D$10:$HD$24,77,0)</f>
        <v>SEM ADICIONAL DE FUNÇÃO</v>
      </c>
      <c r="H38" s="471" t="str">
        <f>VLOOKUP(C14,'CAMPUS.CONTRATANTE'!$D$10:$HD$24,94,0)</f>
        <v>SEM ADICIONAL DE FUNÇÃO</v>
      </c>
      <c r="I38" s="471" t="str">
        <f>VLOOKUP(C14,'CAMPUS.CONTRATANTE'!$D$10:$HD$24,111,0)</f>
        <v>SEM ADICIONAL DE FUNÇÃO</v>
      </c>
      <c r="J38" s="472" t="str">
        <f>VLOOKUP(C14,'CAMPUS.CONTRATANTE'!$D$10:$HD$24,128,0)</f>
        <v>SEM ADICIONAL DE FUNÇÃO</v>
      </c>
      <c r="K38" s="472" t="str">
        <f>VLOOKUP(C14,'CAMPUS.CONTRATANTE'!$D$10:$HD$24,145,0)</f>
        <v>SEM ADICIONAL DE FUNÇÃO</v>
      </c>
      <c r="L38" s="472" t="str">
        <f>VLOOKUP(C14,'CAMPUS.CONTRATANTE'!$D$10:$HD$24,162,0)</f>
        <v>SEM ADICIONAL DE FUNÇÃO</v>
      </c>
      <c r="M38" s="472" t="str">
        <f>VLOOKUP(C14,'CAMPUS.CONTRATANTE'!$D$10:$HD$24,179,0)</f>
        <v>SEM ADICIONAL DE FUNÇÃO</v>
      </c>
      <c r="N38" s="472" t="str">
        <f>VLOOKUP(C14,'CAMPUS.CONTRATANTE'!$D$10:$HD$24,196,0)</f>
        <v>SEM ADICIONAL DE FUNÇÃO</v>
      </c>
      <c r="O38" s="472"/>
    </row>
    <row r="39" spans="1:20" ht="15" customHeight="1">
      <c r="A39" s="426"/>
      <c r="B39" s="454" t="s">
        <v>214</v>
      </c>
      <c r="C39" s="473">
        <f>IF(C38="SEM ADICIONAL DE FUNÇÃO",0,VLOOKUP(C14,'CAMPUS.CONTRATANTE'!$D$10:$HD$24,8,0))</f>
        <v>0</v>
      </c>
      <c r="D39" s="473">
        <f>IF(D38="SEM ADICIONAL DE FUNÇÃO",0,VLOOKUP(C14,'CAMPUS.CONTRATANTE'!$D$10:$HD$24,25,0))</f>
        <v>0</v>
      </c>
      <c r="E39" s="473">
        <f>IF(E38="SEM ADICIONAL DE FUNÇÃO",0,VLOOKUP(C14,'CAMPUS.CONTRATANTE'!$D$10:$HD$24,42,0))</f>
        <v>0</v>
      </c>
      <c r="F39" s="473">
        <f t="shared" ref="F39:G39" si="0">IF(F38="SEM ADICIONAL DE FUNÇÃO",0,25%)</f>
        <v>0</v>
      </c>
      <c r="G39" s="473">
        <f t="shared" si="0"/>
        <v>0</v>
      </c>
      <c r="H39" s="473">
        <f>IF(H38="SEM ADICIONAL DE FUNÇÃO",0,30%)</f>
        <v>0</v>
      </c>
      <c r="I39" s="473"/>
      <c r="J39" s="474"/>
      <c r="K39" s="474"/>
      <c r="L39" s="474"/>
      <c r="M39" s="474"/>
      <c r="N39" s="474"/>
      <c r="O39" s="474"/>
    </row>
    <row r="40" spans="1:20" ht="15" customHeight="1">
      <c r="A40" s="426"/>
      <c r="B40" s="454" t="s">
        <v>215</v>
      </c>
      <c r="C40" s="471" t="str">
        <f>VLOOKUP(C14,'CAMPUS.CONTRATANTE'!$D$10:$HD$24,12,0)</f>
        <v>INSALUB S/NORMATIVO</v>
      </c>
      <c r="D40" s="471" t="str">
        <f>VLOOKUP(C14,'CAMPUS.CONTRATANTE'!$D$10:$HD$24,29,0)</f>
        <v>INSALUB S/NORMATIVO</v>
      </c>
      <c r="E40" s="471" t="str">
        <f>VLOOKUP(C14,'CAMPUS.CONTRATANTE'!$D$10:$HD$24,46,0)</f>
        <v>INSALUB S/NORMATIVO</v>
      </c>
      <c r="F40" s="471" t="str">
        <f>VLOOKUP(C14,'CAMPUS.CONTRATANTE'!$D$10:$HD$24,63,0)</f>
        <v>INSALUB S/NORMATIVO</v>
      </c>
      <c r="G40" s="471" t="str">
        <f>VLOOKUP(C14,'CAMPUS.CONTRATANTE'!$D$10:$HD$24,80,0)</f>
        <v>SEM ADICIONAL DE RISCO</v>
      </c>
      <c r="H40" s="471" t="str">
        <f>VLOOKUP(C14,'CAMPUS.CONTRATANTE'!$D$10:$HD$24,97,0)</f>
        <v>SEM ADICIONAL DE RISCO</v>
      </c>
      <c r="I40" s="471" t="str">
        <f>VLOOKUP(C14,'CAMPUS.CONTRATANTE'!$D$10:$HD$24,114,0)</f>
        <v>INSALUB S/NORMATIVO</v>
      </c>
      <c r="J40" s="472" t="str">
        <f>VLOOKUP(C14,'CAMPUS.CONTRATANTE'!$D$10:$HD$24,131,0)</f>
        <v>SEM ADICIONAL DE RISCO</v>
      </c>
      <c r="K40" s="472" t="str">
        <f>VLOOKUP(C14,'CAMPUS.CONTRATANTE'!$D$10:$HD$24,148,0)</f>
        <v>SEM ADICIONAL DE RISCO</v>
      </c>
      <c r="L40" s="472" t="str">
        <f>VLOOKUP(C14,'CAMPUS.CONTRATANTE'!$D$10:$HD$24,165,0)</f>
        <v>INSALUB S/MINIMO</v>
      </c>
      <c r="M40" s="472" t="str">
        <f>VLOOKUP(C14,'CAMPUS.CONTRATANTE'!$D$10:$HD$24,182,0)</f>
        <v>SEM ADICIONAL DE RISCO</v>
      </c>
      <c r="N40" s="472" t="str">
        <f>VLOOKUP(C14,'CAMPUS.CONTRATANTE'!$D$10:$HD$24,199,0)</f>
        <v>SEM ADICIONAL DE RISCO</v>
      </c>
      <c r="O40" s="472"/>
    </row>
    <row r="41" spans="1:20" ht="15" customHeight="1">
      <c r="A41" s="426"/>
      <c r="B41" s="454" t="s">
        <v>216</v>
      </c>
      <c r="C41" s="473">
        <f>IFERROR(IF(C40="INSALUB S/MIN. NACION.",VLOOKUP(C14,'CAMPUS.CONTRATANTE'!$D$10:$HD$24,11,0),IF(C40="INSALUB S/NORMATIVO",VLOOKUP(C14,'CAMPUS.CONTRATANTE'!$D$10:$HD$24,11,0),IF(C35="PERICULOSIDADE",0*0,0))),0)</f>
        <v>0.4</v>
      </c>
      <c r="D41" s="473">
        <f>IFERROR(IF(D40="INSALUB S/MIN. NACION.",VLOOKUP(C14,'CAMPUS.CONTRATANTE'!$D$10:$HD$24,28,0),IF(D40="INSALUB S/NORMATIVO",VLOOKUP(C14,'CAMPUS.CONTRATANTE'!$D$10:$HD$24,28,0),IF(D35="PERICULOSIDADE",0*0,0))),0)</f>
        <v>0.4</v>
      </c>
      <c r="E41" s="473">
        <f>IFERROR(IF(E40="INSALUB S/MIN. NACION.",VLOOKUP(C14,'CAMPUS.CONTRATANTE'!$D$10:$HD$24,45,0),IF(E40="INSALUB S/NORMATIVO",VLOOKUP(C14,'CAMPUS.CONTRATANTE'!$D$10:$HD$24,45,0),IF(E35="PERICULOSIDADE",0*0,0))),0)</f>
        <v>0.2</v>
      </c>
      <c r="F41" s="473">
        <f>IFERROR(IF(F40="INSALUB S/MIN. NACION.",VLOOKUP(C14,'CAMPUS.CONTRATANTE'!$D$10:$HD$24,62,0),IF(F40="INSALUB S/NORMATIVO",VLOOKUP(C14,'CAMPUS.CONTRATANTE'!$D$10:$HD$24,62,0),IF(F35="PERICULOSIDADE",0*0,0))),0)</f>
        <v>0.2</v>
      </c>
      <c r="G41" s="473">
        <f>IFERROR(IF(G40="INSALUB S/MIN. NACION.",VLOOKUP(C14,'CAMPUS.CONTRATANTE'!$D$10:$HD$24,79,0),IF(G40="INSALUB S/NORMATIVO",VLOOKUP(C14,'CAMPUS.CONTRATANTE'!$D$10:$HD$24,79,0),IF(G35="PERICULOSIDADE",0*0,0))),0)</f>
        <v>0</v>
      </c>
      <c r="H41" s="473">
        <f>IFERROR(IF(H40="INSALUB S/MIN. NACION.",VLOOKUP(C14,'CAMPUS.CONTRATANTE'!$D$10:$HD$24,96,0),IF(H40="INSALUB S/NORMATIVO",VLOOKUP(C14,'CAMPUS.CONTRATANTE'!$D$10:$HD$24,96,0),IF(H35="PERICULOSIDADE",0*0,0))),0)</f>
        <v>0</v>
      </c>
      <c r="I41" s="473">
        <f>IFERROR(IF(I40="INSALUB S/MIN. NACION.",VLOOKUP(C14,'CAMPUS.CONTRATANTE'!$D$10:$HD$24,113,0),IF(I40="INSALUB S/NORMATIVO",VLOOKUP(C14,'CAMPUS.CONTRATANTE'!$D$10:$HD$24,113,0),IF(I35="PERICULOSIDADE",0*0,0))),0)</f>
        <v>0.2</v>
      </c>
      <c r="J41" s="474">
        <f>IFERROR(IF(J40="INSALUB S/MINIMO",VLOOKUP(C14,'CAMPUS.CONTRATANTE'!$D$10:$HD$24,130,0),IF(J40="INSALUB S/NORMATIVO",VLOOKUP(C14,'CAMPUS.CONTRATANTE'!$D$10:$HD$24,130,0),IF(J35="PERICULOSIDADE",0*0,0))),0)</f>
        <v>0</v>
      </c>
      <c r="K41" s="474">
        <f>IFERROR(IF(K40="INSALUB S/MINIMO",VLOOKUP(C14,'CAMPUS.CONTRATANTE'!$D$10:$HD$24,147,0),IF(K40="INSALUB S/NORMATIVO",VLOOKUP(C14,'CAMPUS.CONTRATANTE'!$D$10:$HD$24,147,0),IF(K35="PERICULOSIDADE",0*0,0))),0)</f>
        <v>0</v>
      </c>
      <c r="L41" s="474">
        <f>IFERROR(IF(L40="INSALUB S/MINIMO",VLOOKUP(C14,'CAMPUS.CONTRATANTE'!$D$10:$HD$24,164,0),IF(L40="INSALUB S/NORMATIVO",VLOOKUP(C14,'CAMPUS.CONTRATANTE'!$D$10:$HD$24,164,0),IF(L35="PERICULOSIDADE",0*0,0))),0)</f>
        <v>0.2</v>
      </c>
      <c r="M41" s="474">
        <f>IFERROR(IF(M40="INSALUB S/MINIMO",VLOOKUP(C14,'CAMPUS.CONTRATANTE'!$D$10:$HD$24,181,0),IF(M40="INSALUB S/NORMATIVO",VLOOKUP(C14,'CAMPUS.CONTRATANTE'!$D$10:$HD$24,181,0),IF(M35="PERICULOSIDADE",0*0,0))),0)</f>
        <v>0</v>
      </c>
      <c r="N41" s="474">
        <f>IFERROR(IF(N40="INSALUB S/MINIMO",VLOOKUP(C14,'CAMPUS.CONTRATANTE'!$D$10:$HD$24,198,0),IF(N40="INSALUB S/NORMATIVO",VLOOKUP(C14,'CAMPUS.CONTRATANTE'!$D$10:$HD$24,198,0),IF(N35="PERICULOSIDADE",0*0,0))),0)</f>
        <v>0</v>
      </c>
      <c r="O41" s="474"/>
    </row>
    <row r="42" spans="1:20" ht="15" customHeight="1">
      <c r="A42" s="475"/>
      <c r="B42" s="468" t="s">
        <v>217</v>
      </c>
      <c r="C42" s="476">
        <v>1621</v>
      </c>
      <c r="D42" s="476">
        <f t="shared" ref="D42:N42" si="1">C42</f>
        <v>1621</v>
      </c>
      <c r="E42" s="476">
        <f t="shared" si="1"/>
        <v>1621</v>
      </c>
      <c r="F42" s="476">
        <f t="shared" si="1"/>
        <v>1621</v>
      </c>
      <c r="G42" s="476">
        <f t="shared" si="1"/>
        <v>1621</v>
      </c>
      <c r="H42" s="476">
        <f t="shared" si="1"/>
        <v>1621</v>
      </c>
      <c r="I42" s="476">
        <f t="shared" si="1"/>
        <v>1621</v>
      </c>
      <c r="J42" s="477">
        <f t="shared" si="1"/>
        <v>1621</v>
      </c>
      <c r="K42" s="477">
        <f t="shared" si="1"/>
        <v>1621</v>
      </c>
      <c r="L42" s="477">
        <f t="shared" si="1"/>
        <v>1621</v>
      </c>
      <c r="M42" s="477">
        <f t="shared" si="1"/>
        <v>1621</v>
      </c>
      <c r="N42" s="477">
        <f t="shared" si="1"/>
        <v>1621</v>
      </c>
      <c r="O42" s="477"/>
      <c r="P42" s="461"/>
      <c r="Q42" s="461"/>
      <c r="R42" s="461"/>
      <c r="S42" s="461"/>
      <c r="T42" s="461"/>
    </row>
    <row r="43" spans="1:20" ht="15" customHeight="1">
      <c r="A43" s="426"/>
      <c r="B43" s="478" t="s">
        <v>218</v>
      </c>
      <c r="C43" s="479">
        <f>IF(VLOOKUP(C14,'CAMPUS.CONTRATANTE'!$D$10:$HB$24,18,0)="S",20%,0)</f>
        <v>0</v>
      </c>
      <c r="D43" s="479">
        <f>IF(VLOOKUP(C14,'CAMPUS.CONTRATANTE'!$D$10:$HB$24,18,0)="S",20%,0)</f>
        <v>0</v>
      </c>
      <c r="E43" s="479">
        <f>IF(VLOOKUP(C14,'CAMPUS.CONTRATANTE'!$D$10:$HB$24,18,0)="S",20%,0)</f>
        <v>0</v>
      </c>
      <c r="F43" s="479">
        <f>IF(VLOOKUP(C14,'CAMPUS.CONTRATANTE'!$D$10:$HB$24,18,0)="S",20%,0)</f>
        <v>0</v>
      </c>
      <c r="G43" s="479">
        <f>IF(VLOOKUP(C14,'CAMPUS.CONTRATANTE'!$D$10:$HB$24,18,0)="S",20%,0)</f>
        <v>0</v>
      </c>
      <c r="H43" s="479">
        <f>IF(VLOOKUP(C14,'CAMPUS.CONTRATANTE'!$D$10:$HB$24,103,0)="S",20%,0)</f>
        <v>0</v>
      </c>
      <c r="I43" s="479">
        <f>IF(VLOOKUP(C14,'CAMPUS.CONTRATANTE'!$D$10:$HB$24,18,0)="S",20%,0)</f>
        <v>0</v>
      </c>
      <c r="J43" s="480">
        <f>IF(VLOOKUP(C14,'CAMPUS.CONTRATANTE'!$D$10:$HB$24,137,0)="S",20%,0)</f>
        <v>0.2</v>
      </c>
      <c r="K43" s="481">
        <f>IF(VLOOKUP(C14,'CAMPUS.CONTRATANTE'!$D$10:$HB$24,18,0)="S",20%,0)</f>
        <v>0</v>
      </c>
      <c r="L43" s="480"/>
      <c r="M43" s="481"/>
      <c r="N43" s="480"/>
      <c r="O43" s="481"/>
      <c r="P43" s="482"/>
      <c r="Q43" s="482"/>
      <c r="R43" s="482"/>
      <c r="S43" s="482"/>
      <c r="T43" s="482"/>
    </row>
    <row r="44" spans="1:20" ht="15" customHeight="1">
      <c r="A44" s="426"/>
      <c r="B44" s="454" t="s">
        <v>219</v>
      </c>
      <c r="C44" s="483">
        <f>IF(C40="PERICULOSIDADE",30%,0)</f>
        <v>0</v>
      </c>
      <c r="D44" s="483">
        <f>IF(C40="PERICULOSIDADE",30%,0)</f>
        <v>0</v>
      </c>
      <c r="E44" s="484"/>
      <c r="F44" s="484"/>
      <c r="G44" s="482"/>
      <c r="H44" s="484"/>
      <c r="I44" s="484"/>
      <c r="J44" s="485"/>
      <c r="K44" s="485"/>
      <c r="L44" s="485"/>
      <c r="M44" s="485"/>
      <c r="N44" s="485"/>
      <c r="O44" s="485"/>
      <c r="P44" s="13"/>
      <c r="Q44" s="13"/>
      <c r="R44" s="13"/>
      <c r="S44" s="13"/>
      <c r="T44" s="13"/>
    </row>
    <row r="45" spans="1:20" ht="18.75" customHeight="1">
      <c r="A45" s="426"/>
      <c r="B45" s="13"/>
      <c r="C45" s="13"/>
      <c r="D45" s="13"/>
      <c r="E45" s="13"/>
      <c r="F45" s="13"/>
      <c r="G45" s="13"/>
      <c r="H45" s="13"/>
      <c r="I45" s="13"/>
      <c r="J45" s="486"/>
      <c r="K45" s="486"/>
      <c r="L45" s="486"/>
      <c r="M45" s="486"/>
      <c r="N45" s="486"/>
      <c r="O45" s="486"/>
      <c r="P45" s="13"/>
      <c r="Q45" s="13"/>
      <c r="R45" s="13"/>
      <c r="S45" s="13"/>
      <c r="T45" s="13"/>
    </row>
    <row r="46" spans="1:20" ht="8.25" customHeight="1">
      <c r="A46" s="426"/>
      <c r="B46" s="454"/>
      <c r="C46" s="487"/>
      <c r="D46" s="488"/>
      <c r="E46" s="488"/>
      <c r="F46" s="488"/>
      <c r="G46" s="488"/>
      <c r="H46" s="488"/>
      <c r="I46" s="488"/>
      <c r="J46" s="489"/>
      <c r="K46" s="489"/>
      <c r="L46" s="487"/>
      <c r="M46" s="487"/>
      <c r="N46" s="487"/>
      <c r="O46" s="487"/>
      <c r="P46" s="487"/>
      <c r="Q46" s="487"/>
      <c r="R46" s="487"/>
      <c r="S46" s="487"/>
      <c r="T46" s="487"/>
    </row>
    <row r="47" spans="1:20" ht="12.75" customHeight="1">
      <c r="A47" s="426"/>
      <c r="B47" s="1532" t="s">
        <v>220</v>
      </c>
      <c r="C47" s="1456"/>
      <c r="D47" s="1475"/>
      <c r="E47" s="456"/>
      <c r="F47" s="456"/>
      <c r="G47" s="456"/>
      <c r="H47" s="456"/>
      <c r="I47" s="456"/>
      <c r="J47" s="457"/>
      <c r="K47" s="457"/>
      <c r="L47" s="29"/>
      <c r="M47" s="29"/>
      <c r="N47" s="29"/>
      <c r="O47" s="490"/>
    </row>
    <row r="48" spans="1:20" ht="12.75" customHeight="1">
      <c r="A48" s="426"/>
      <c r="B48" s="426"/>
      <c r="C48" s="426"/>
      <c r="D48" s="426"/>
      <c r="E48" s="426"/>
      <c r="F48" s="426"/>
      <c r="G48" s="426"/>
      <c r="H48" s="426"/>
      <c r="I48" s="426"/>
      <c r="J48" s="442"/>
      <c r="K48" s="442"/>
      <c r="L48" s="491"/>
      <c r="M48" s="491"/>
      <c r="N48" s="491"/>
      <c r="O48" s="490"/>
    </row>
    <row r="49" spans="1:15" ht="30.75" customHeight="1">
      <c r="A49" s="426"/>
      <c r="B49" s="426"/>
      <c r="C49" s="492" t="str">
        <f t="shared" ref="C49:N49" si="2">C33</f>
        <v>5162_20_CUIDADOR-de-ALUNOS_40h</v>
      </c>
      <c r="D49" s="492" t="str">
        <f t="shared" si="2"/>
        <v>5162_20_CUIDADOR-de-ALUNOS_20h</v>
      </c>
      <c r="E49" s="492" t="str">
        <f t="shared" si="2"/>
        <v>3341-05_INSTRUTOR-de-ALUNOS_40hs</v>
      </c>
      <c r="F49" s="492" t="str">
        <f t="shared" si="2"/>
        <v>3341-05_INSTRUTOR-de-ALUNOS_20hs</v>
      </c>
      <c r="G49" s="492" t="str">
        <f t="shared" si="2"/>
        <v>2394-25_PSICOPEGAGOGO_40h</v>
      </c>
      <c r="H49" s="492" t="str">
        <f t="shared" si="2"/>
        <v>2394-25_PSICOPEGAGOGO_20h</v>
      </c>
      <c r="I49" s="492" t="str">
        <f t="shared" si="2"/>
        <v>3341-10_MONITOR-de-ALUNOS_40h</v>
      </c>
      <c r="J49" s="493" t="str">
        <f t="shared" si="2"/>
        <v>NAO TEM MAIS POSTO 55</v>
      </c>
      <c r="K49" s="493" t="str">
        <f t="shared" si="2"/>
        <v>NAO TEM MAIS POSTO 66</v>
      </c>
      <c r="L49" s="494" t="str">
        <f t="shared" si="2"/>
        <v>A NÃO TEM MAIS POSTOS-77</v>
      </c>
      <c r="M49" s="494" t="str">
        <f t="shared" si="2"/>
        <v>A NÃO TEM MAIS POSTOS-88</v>
      </c>
      <c r="N49" s="494" t="str">
        <f t="shared" si="2"/>
        <v>A NÃO TEM MAIS POSTOS-99</v>
      </c>
      <c r="O49" s="490"/>
    </row>
    <row r="50" spans="1:15" ht="13.5" customHeight="1">
      <c r="A50" s="426"/>
      <c r="B50" s="495" t="s">
        <v>221</v>
      </c>
      <c r="C50" s="496">
        <v>8</v>
      </c>
      <c r="D50" s="496">
        <v>4</v>
      </c>
      <c r="E50" s="496">
        <v>8</v>
      </c>
      <c r="F50" s="496">
        <v>4</v>
      </c>
      <c r="G50" s="496">
        <v>8</v>
      </c>
      <c r="H50" s="496">
        <v>4</v>
      </c>
      <c r="I50" s="496">
        <v>8</v>
      </c>
      <c r="J50" s="497">
        <v>4</v>
      </c>
      <c r="K50" s="497">
        <v>8</v>
      </c>
      <c r="L50" s="498">
        <v>8</v>
      </c>
      <c r="M50" s="498">
        <v>8</v>
      </c>
      <c r="N50" s="498">
        <v>8</v>
      </c>
      <c r="O50" s="490"/>
    </row>
    <row r="51" spans="1:15" ht="13.5" customHeight="1">
      <c r="A51" s="426"/>
      <c r="B51" s="495" t="s">
        <v>222</v>
      </c>
      <c r="C51" s="496">
        <v>40</v>
      </c>
      <c r="D51" s="496">
        <v>20</v>
      </c>
      <c r="E51" s="496">
        <v>40</v>
      </c>
      <c r="F51" s="496">
        <v>20</v>
      </c>
      <c r="G51" s="496">
        <v>40</v>
      </c>
      <c r="H51" s="496">
        <v>20</v>
      </c>
      <c r="I51" s="496">
        <v>40</v>
      </c>
      <c r="J51" s="497">
        <f>VLOOKUP(C14,'CAMPUS.CONTRATANTE'!$D$10:$HD$24,132,0)</f>
        <v>20</v>
      </c>
      <c r="K51" s="497">
        <f>VLOOKUP(C14,'CAMPUS.CONTRATANTE'!$D$10:$HD$24,149,0)</f>
        <v>44</v>
      </c>
      <c r="L51" s="499">
        <f>VLOOKUP(C14,'CAMPUS.CONTRATANTE'!$D$10:$HD$24,166,0)</f>
        <v>44</v>
      </c>
      <c r="M51" s="499">
        <f>VLOOKUP(C14,'CAMPUS.CONTRATANTE'!$D$10:$HD$24,183,0)</f>
        <v>44</v>
      </c>
      <c r="N51" s="499">
        <f>VLOOKUP(C14,'CAMPUS.CONTRATANTE'!$D$10:$HD$24,200,0)</f>
        <v>44</v>
      </c>
      <c r="O51" s="490"/>
    </row>
    <row r="52" spans="1:15" ht="18.75" customHeight="1">
      <c r="A52" s="500"/>
      <c r="B52" s="501" t="s">
        <v>223</v>
      </c>
      <c r="C52" s="502">
        <f t="shared" ref="C52:N52" si="3">C51*5</f>
        <v>200</v>
      </c>
      <c r="D52" s="502">
        <f t="shared" si="3"/>
        <v>100</v>
      </c>
      <c r="E52" s="502">
        <f t="shared" si="3"/>
        <v>200</v>
      </c>
      <c r="F52" s="502">
        <f t="shared" si="3"/>
        <v>100</v>
      </c>
      <c r="G52" s="502">
        <f t="shared" si="3"/>
        <v>200</v>
      </c>
      <c r="H52" s="502">
        <f t="shared" si="3"/>
        <v>100</v>
      </c>
      <c r="I52" s="502">
        <f t="shared" si="3"/>
        <v>200</v>
      </c>
      <c r="J52" s="503">
        <f t="shared" si="3"/>
        <v>100</v>
      </c>
      <c r="K52" s="503">
        <f t="shared" si="3"/>
        <v>220</v>
      </c>
      <c r="L52" s="503">
        <f t="shared" si="3"/>
        <v>220</v>
      </c>
      <c r="M52" s="503">
        <f t="shared" si="3"/>
        <v>220</v>
      </c>
      <c r="N52" s="503">
        <f t="shared" si="3"/>
        <v>220</v>
      </c>
      <c r="O52" s="504"/>
    </row>
    <row r="53" spans="1:15" ht="6.75" customHeight="1">
      <c r="A53" s="426"/>
      <c r="B53" s="454"/>
      <c r="C53" s="505"/>
      <c r="D53" s="506"/>
      <c r="E53" s="506"/>
      <c r="F53" s="506"/>
      <c r="G53" s="506"/>
      <c r="H53" s="506"/>
      <c r="I53" s="506"/>
      <c r="J53" s="507"/>
      <c r="K53" s="507"/>
      <c r="L53" s="508"/>
      <c r="M53" s="508"/>
      <c r="N53" s="508"/>
      <c r="O53" s="490"/>
    </row>
    <row r="54" spans="1:15" ht="12.75" customHeight="1">
      <c r="A54" s="426"/>
      <c r="B54" s="1532" t="s">
        <v>224</v>
      </c>
      <c r="C54" s="1456"/>
      <c r="D54" s="1475"/>
      <c r="E54" s="456"/>
      <c r="F54" s="456"/>
      <c r="G54" s="456"/>
      <c r="H54" s="456"/>
      <c r="I54" s="456"/>
      <c r="J54" s="457"/>
      <c r="K54" s="457"/>
      <c r="L54" s="29"/>
      <c r="M54" s="29"/>
      <c r="N54" s="29"/>
      <c r="O54" s="490"/>
    </row>
    <row r="55" spans="1:15" ht="9.75" customHeight="1">
      <c r="A55" s="426"/>
      <c r="B55" s="509"/>
      <c r="C55" s="510"/>
      <c r="D55" s="510"/>
      <c r="E55" s="511"/>
      <c r="F55" s="511"/>
      <c r="G55" s="511"/>
      <c r="H55" s="511"/>
      <c r="I55" s="511"/>
      <c r="J55" s="512"/>
      <c r="K55" s="512"/>
      <c r="L55" s="513"/>
      <c r="M55" s="513"/>
      <c r="N55" s="513"/>
      <c r="O55" s="490"/>
    </row>
    <row r="56" spans="1:15" ht="27" customHeight="1">
      <c r="A56" s="426"/>
      <c r="B56" s="426"/>
      <c r="C56" s="492" t="str">
        <f t="shared" ref="C56:N56" si="4">C49</f>
        <v>5162_20_CUIDADOR-de-ALUNOS_40h</v>
      </c>
      <c r="D56" s="492" t="str">
        <f t="shared" si="4"/>
        <v>5162_20_CUIDADOR-de-ALUNOS_20h</v>
      </c>
      <c r="E56" s="492" t="str">
        <f t="shared" si="4"/>
        <v>3341-05_INSTRUTOR-de-ALUNOS_40hs</v>
      </c>
      <c r="F56" s="492" t="str">
        <f t="shared" si="4"/>
        <v>3341-05_INSTRUTOR-de-ALUNOS_20hs</v>
      </c>
      <c r="G56" s="492" t="str">
        <f t="shared" si="4"/>
        <v>2394-25_PSICOPEGAGOGO_40h</v>
      </c>
      <c r="H56" s="492" t="str">
        <f t="shared" si="4"/>
        <v>2394-25_PSICOPEGAGOGO_20h</v>
      </c>
      <c r="I56" s="492" t="str">
        <f t="shared" si="4"/>
        <v>3341-10_MONITOR-de-ALUNOS_40h</v>
      </c>
      <c r="J56" s="493" t="str">
        <f t="shared" si="4"/>
        <v>NAO TEM MAIS POSTO 55</v>
      </c>
      <c r="K56" s="493" t="str">
        <f t="shared" si="4"/>
        <v>NAO TEM MAIS POSTO 66</v>
      </c>
      <c r="L56" s="494" t="str">
        <f t="shared" si="4"/>
        <v>A NÃO TEM MAIS POSTOS-77</v>
      </c>
      <c r="M56" s="494" t="str">
        <f t="shared" si="4"/>
        <v>A NÃO TEM MAIS POSTOS-88</v>
      </c>
      <c r="N56" s="494" t="str">
        <f t="shared" si="4"/>
        <v>A NÃO TEM MAIS POSTOS-99</v>
      </c>
      <c r="O56" s="490"/>
    </row>
    <row r="57" spans="1:15" ht="15.75" customHeight="1">
      <c r="A57" s="426"/>
      <c r="B57" s="495" t="s">
        <v>225</v>
      </c>
      <c r="C57" s="514">
        <v>0.03</v>
      </c>
      <c r="D57" s="514">
        <f t="shared" ref="D57:F57" si="5">C57</f>
        <v>0.03</v>
      </c>
      <c r="E57" s="514">
        <f t="shared" si="5"/>
        <v>0.03</v>
      </c>
      <c r="F57" s="514">
        <f t="shared" si="5"/>
        <v>0.03</v>
      </c>
      <c r="G57" s="514">
        <v>0</v>
      </c>
      <c r="H57" s="514">
        <f t="shared" ref="H57:N57" si="6">G57</f>
        <v>0</v>
      </c>
      <c r="I57" s="514">
        <f t="shared" si="6"/>
        <v>0</v>
      </c>
      <c r="J57" s="515">
        <f t="shared" si="6"/>
        <v>0</v>
      </c>
      <c r="K57" s="515">
        <f t="shared" si="6"/>
        <v>0</v>
      </c>
      <c r="L57" s="516">
        <f t="shared" si="6"/>
        <v>0</v>
      </c>
      <c r="M57" s="516">
        <f t="shared" si="6"/>
        <v>0</v>
      </c>
      <c r="N57" s="516">
        <f t="shared" si="6"/>
        <v>0</v>
      </c>
      <c r="O57" s="490"/>
    </row>
    <row r="58" spans="1:15" ht="15.75" customHeight="1">
      <c r="A58" s="426"/>
      <c r="B58" s="495" t="s">
        <v>226</v>
      </c>
      <c r="C58" s="517">
        <v>1</v>
      </c>
      <c r="D58" s="517">
        <f t="shared" ref="D58:N58" si="7">C58</f>
        <v>1</v>
      </c>
      <c r="E58" s="517">
        <f t="shared" si="7"/>
        <v>1</v>
      </c>
      <c r="F58" s="517">
        <f t="shared" si="7"/>
        <v>1</v>
      </c>
      <c r="G58" s="517">
        <f t="shared" si="7"/>
        <v>1</v>
      </c>
      <c r="H58" s="517">
        <f t="shared" si="7"/>
        <v>1</v>
      </c>
      <c r="I58" s="517">
        <f t="shared" si="7"/>
        <v>1</v>
      </c>
      <c r="J58" s="518">
        <f t="shared" si="7"/>
        <v>1</v>
      </c>
      <c r="K58" s="518">
        <f t="shared" si="7"/>
        <v>1</v>
      </c>
      <c r="L58" s="519">
        <f t="shared" si="7"/>
        <v>1</v>
      </c>
      <c r="M58" s="519">
        <f t="shared" si="7"/>
        <v>1</v>
      </c>
      <c r="N58" s="519">
        <f t="shared" si="7"/>
        <v>1</v>
      </c>
      <c r="O58" s="490"/>
    </row>
    <row r="59" spans="1:15" ht="15.75" customHeight="1">
      <c r="A59" s="426"/>
      <c r="B59" s="454"/>
      <c r="C59" s="520"/>
      <c r="D59" s="520"/>
      <c r="E59" s="520"/>
      <c r="F59" s="520"/>
      <c r="G59" s="520"/>
      <c r="H59" s="520"/>
      <c r="I59" s="520"/>
      <c r="J59" s="521"/>
      <c r="K59" s="521"/>
      <c r="L59" s="522"/>
      <c r="M59" s="522"/>
      <c r="N59" s="522"/>
      <c r="O59" s="490"/>
    </row>
    <row r="60" spans="1:15" ht="15" customHeight="1">
      <c r="A60" s="426"/>
      <c r="B60" s="495" t="s">
        <v>227</v>
      </c>
      <c r="C60" s="523">
        <f>IF(C52&gt;199,VLOOKUP(C35,'DADOS-CADASTRAIS'!C5:O71,4,0)*1,0)</f>
        <v>27.15</v>
      </c>
      <c r="D60" s="523">
        <f>IF(D52&gt;199,VLOOKUP(D35,'DADOS-CADASTRAIS'!C5:O71,4,0)*1,0)</f>
        <v>0</v>
      </c>
      <c r="E60" s="523">
        <f>IF(E52&gt;199,VLOOKUP(E35,'DADOS-CADASTRAIS'!C5:O71,4,0)*1,0)</f>
        <v>18.97</v>
      </c>
      <c r="F60" s="523">
        <f>IF(F52&gt;199,VLOOKUP(F35,'DADOS-CADASTRAIS'!C5:O71,4,0)*1,0)</f>
        <v>0</v>
      </c>
      <c r="G60" s="523">
        <f>IF(G52&gt;199,VLOOKUP(G35,'DADOS-CADASTRAIS'!C5:O71,4,0)*1,0)</f>
        <v>18.97</v>
      </c>
      <c r="H60" s="523">
        <f>IF(H52&gt;199,VLOOKUP(H35,'DADOS-CADASTRAIS'!C5:O71,4,0)*1,0)</f>
        <v>0</v>
      </c>
      <c r="I60" s="523">
        <f>IF(I52&gt;199,VLOOKUP(I35,'DADOS-CADASTRAIS'!C5:O71,4,0)*1,0)</f>
        <v>27.15</v>
      </c>
      <c r="J60" s="524">
        <f>IF(J52&gt;199,VLOOKUP(J35,'DADOS-CADASTRAIS'!C5:O71,4,0)*1,0)</f>
        <v>0</v>
      </c>
      <c r="K60" s="524">
        <f>IF(K52&gt;199,VLOOKUP(K35,'DADOS-CADASTRAIS'!C5:O71,4,0)*1,0)</f>
        <v>31.69</v>
      </c>
      <c r="L60" s="525">
        <f>IF(L52&gt;199,VLOOKUP(L35,'DADOS-CADASTRAIS'!C5:O71,4,0)*1,0)</f>
        <v>31.69</v>
      </c>
      <c r="M60" s="525">
        <f>IF(L52&gt;199,VLOOKUP(L35,'DADOS-CADASTRAIS'!C5:O71,4,0)*1,0)</f>
        <v>31.69</v>
      </c>
      <c r="N60" s="525">
        <f>IF(L52&gt;199,VLOOKUP(L35,'DADOS-CADASTRAIS'!C5:O71,4,0)*1,0)</f>
        <v>31.69</v>
      </c>
      <c r="O60" s="490"/>
    </row>
    <row r="61" spans="1:15" ht="15" customHeight="1">
      <c r="A61" s="426"/>
      <c r="B61" s="495" t="s">
        <v>228</v>
      </c>
      <c r="C61" s="526">
        <f>VLOOKUP(C35,'DADOS-CADASTRAIS'!C6:O29,6,0)</f>
        <v>0.19</v>
      </c>
      <c r="D61" s="526">
        <f>VLOOKUP(D35,'DADOS-CADASTRAIS'!C6:O89,6,0)</f>
        <v>0.19</v>
      </c>
      <c r="E61" s="526">
        <f>VLOOKUP(E35,'DADOS-CADASTRAIS'!C6:O29,6,0)</f>
        <v>0.2</v>
      </c>
      <c r="F61" s="526">
        <f>VLOOKUP(F35,'DADOS-CADASTRAIS'!C6:O29,6,0)</f>
        <v>0.2</v>
      </c>
      <c r="G61" s="526">
        <f>VLOOKUP(G35,'DADOS-CADASTRAIS'!C6:O29,6,0)</f>
        <v>0.2</v>
      </c>
      <c r="H61" s="526">
        <f>VLOOKUP(H35,'DADOS-CADASTRAIS'!C6:U29,6,0)</f>
        <v>0.2</v>
      </c>
      <c r="I61" s="526">
        <f>VLOOKUP(I35,'DADOS-CADASTRAIS'!C6:U29,6,0)</f>
        <v>0.19</v>
      </c>
      <c r="J61" s="527">
        <f>VLOOKUP(J35,'DADOS-CADASTRAIS'!C6:O29,6,0)</f>
        <v>0.2</v>
      </c>
      <c r="K61" s="527">
        <f>VLOOKUP(K35,'DADOS-CADASTRAIS'!C6:O29,6,0)</f>
        <v>0.2</v>
      </c>
      <c r="L61" s="516">
        <f>VLOOKUP(L35,'DADOS-CADASTRAIS'!C6:O29,6,0)</f>
        <v>0.2</v>
      </c>
      <c r="M61" s="516">
        <f>IF(L52&gt;199,VLOOKUP(L35,'DADOS-CADASTRAIS'!C5:O71,4,0)*1,0)</f>
        <v>31.69</v>
      </c>
      <c r="N61" s="516">
        <f>IF(L52&gt;199,VLOOKUP(L35,'DADOS-CADASTRAIS'!C5:O71,4,0)*1,0)</f>
        <v>31.69</v>
      </c>
      <c r="O61" s="490"/>
    </row>
    <row r="62" spans="1:15" ht="15" customHeight="1">
      <c r="A62" s="426"/>
      <c r="B62" s="495" t="s">
        <v>229</v>
      </c>
      <c r="C62" s="528">
        <f>VLOOKUP(C14,'CAMPUS.CONTRATANTE'!$D$10:$HD$24,17,0)</f>
        <v>20.5</v>
      </c>
      <c r="D62" s="528">
        <f>VLOOKUP(C14,'CAMPUS.CONTRATANTE'!$D$10:$HD$24,34,0)</f>
        <v>20.5</v>
      </c>
      <c r="E62" s="528">
        <f>VLOOKUP(C14,'CAMPUS.CONTRATANTE'!$D$10:$HD$24,51,0)</f>
        <v>20.5</v>
      </c>
      <c r="F62" s="528">
        <f>VLOOKUP(C14,'CAMPUS.CONTRATANTE'!$D$10:$HD$24,68,0)</f>
        <v>20.5</v>
      </c>
      <c r="G62" s="528">
        <f>VLOOKUP(C14,'CAMPUS.CONTRATANTE'!$D$10:$HD$24,85,0)</f>
        <v>20.5</v>
      </c>
      <c r="H62" s="528">
        <f>VLOOKUP(C14,'CAMPUS.CONTRATANTE'!$D$10:$HD$24,102,0)</f>
        <v>20.5</v>
      </c>
      <c r="I62" s="528">
        <f>VLOOKUP(C14,'CAMPUS.CONTRATANTE'!$D$10:$HD$24,119,0)</f>
        <v>20.5</v>
      </c>
      <c r="J62" s="529">
        <f t="shared" ref="J62:N62" si="8">I62</f>
        <v>20.5</v>
      </c>
      <c r="K62" s="529">
        <f t="shared" si="8"/>
        <v>20.5</v>
      </c>
      <c r="L62" s="508">
        <f t="shared" si="8"/>
        <v>20.5</v>
      </c>
      <c r="M62" s="508">
        <f t="shared" si="8"/>
        <v>20.5</v>
      </c>
      <c r="N62" s="508">
        <f t="shared" si="8"/>
        <v>20.5</v>
      </c>
      <c r="O62" s="490"/>
    </row>
    <row r="63" spans="1:15" ht="15" customHeight="1">
      <c r="A63" s="426"/>
      <c r="B63" s="495" t="s">
        <v>230</v>
      </c>
      <c r="C63" s="523">
        <f>IF(C52&lt;199,VLOOKUP(C35,'DADOS-CADASTRAIS'!C5:O71,5,0)*1,0)</f>
        <v>0</v>
      </c>
      <c r="D63" s="523">
        <f>IF(D52&lt;199,VLOOKUP(D35,'DADOS-CADASTRAIS'!C5:O71,5,0)*1,0)</f>
        <v>13.57</v>
      </c>
      <c r="E63" s="523">
        <f>IF(E52&lt;199,VLOOKUP(E35,'DADOS-CADASTRAIS'!C5:O71,5,0)*1,0)</f>
        <v>0</v>
      </c>
      <c r="F63" s="523">
        <f>IF(F52&lt;199,VLOOKUP(F35,'DADOS-CADASTRAIS'!C5:O71,5,0)*1,0)</f>
        <v>0</v>
      </c>
      <c r="G63" s="523">
        <f>IF(G52&lt;199,VLOOKUP(G35,'DADOS-CADASTRAIS'!C5:O71,5,0)*1,0)</f>
        <v>0</v>
      </c>
      <c r="H63" s="523">
        <f>IF(H52&lt;199,VLOOKUP(H35,'DADOS-CADASTRAIS'!C5:O71,5,0)*1,0)</f>
        <v>0</v>
      </c>
      <c r="I63" s="523">
        <f>IF(I52&lt;199,VLOOKUP(I35,'DADOS-CADASTRAIS'!C5:O71,5,0)*1,0)</f>
        <v>0</v>
      </c>
      <c r="J63" s="524">
        <f>IF(J52&lt;199,VLOOKUP(J35,'DADOS-CADASTRAIS'!C5:O71,5,0)*1,0)</f>
        <v>0</v>
      </c>
      <c r="K63" s="530">
        <f>IF(K52&lt;199,VLOOKUP(K35,'DADOS-CADASTRAIS'!C5:O71,5,0)*1,0)</f>
        <v>0</v>
      </c>
      <c r="L63" s="525">
        <f>IF(L52&lt;199,VLOOKUP(L35,'DADOS-CADASTRAIS'!C5:O71,5,0)*1,0)</f>
        <v>0</v>
      </c>
      <c r="M63" s="525">
        <f>IF(M52&lt;199,VLOOKUP(M35,'DADOS-CADASTRAIS'!C5:O71,5,0)*1,0)</f>
        <v>0</v>
      </c>
      <c r="N63" s="525">
        <f>IF(N52&lt;199,VLOOKUP(N35,'DADOS-CADASTRAIS'!C5:O71,5,0)*1,0)</f>
        <v>0</v>
      </c>
      <c r="O63" s="490"/>
    </row>
    <row r="64" spans="1:15" ht="15" customHeight="1">
      <c r="A64" s="426"/>
      <c r="B64" s="495" t="s">
        <v>231</v>
      </c>
      <c r="C64" s="523">
        <f>VLOOKUP(C35,'DADOS-CADASTRAIS'!C5:V71,12,0)*(1-(C2&gt;179)*0.5)</f>
        <v>80</v>
      </c>
      <c r="D64" s="523">
        <f>VLOOKUP(D35,'DADOS-CADASTRAIS'!C5:V71,12,0)*(1-(C2&lt;179)*0.5)</f>
        <v>40</v>
      </c>
      <c r="E64" s="523">
        <f>VLOOKUP(E35,'DADOS-CADASTRAIS'!C5:V71,12,0)*(1-(C2&gt;179)*0.5)</f>
        <v>0</v>
      </c>
      <c r="F64" s="523">
        <f>VLOOKUP(F35,'DADOS-CADASTRAIS'!C5:V71,12,0)*(1-(C2&lt;179)*0.5)</f>
        <v>0</v>
      </c>
      <c r="G64" s="523">
        <f>VLOOKUP(G35,'DADOS-CADASTRAIS'!C5:O71,12,0)</f>
        <v>0</v>
      </c>
      <c r="H64" s="523">
        <f>VLOOKUP(H35,'DADOS-CADASTRAIS'!C5:O71,12,0)</f>
        <v>0</v>
      </c>
      <c r="I64" s="523">
        <f>VLOOKUP(I35,'DADOS-CADASTRAIS'!C5:V71,12,0)*(1-(C2&gt;179)*0.5)</f>
        <v>80</v>
      </c>
      <c r="J64" s="524">
        <f>VLOOKUP(J35,'DADOS-CADASTRAIS'!C5:P71,12,0)</f>
        <v>0</v>
      </c>
      <c r="K64" s="524">
        <f>VLOOKUP(K35,'DADOS-CADASTRAIS'!C5:Q71,12,0)</f>
        <v>0</v>
      </c>
      <c r="L64" s="525"/>
      <c r="M64" s="525"/>
      <c r="N64" s="525"/>
      <c r="O64" s="490"/>
    </row>
    <row r="65" spans="1:26" ht="15" customHeight="1">
      <c r="A65" s="531"/>
      <c r="B65" s="495" t="s">
        <v>232</v>
      </c>
      <c r="C65" s="523">
        <f>VLOOKUP(C35,'DADOS-CADASTRAIS'!C7:V71,19,0)</f>
        <v>0</v>
      </c>
      <c r="D65" s="523">
        <f>VLOOKUP(D35,'DADOS-CADASTRAIS'!C7:V71,19,0)</f>
        <v>0</v>
      </c>
      <c r="E65" s="523">
        <f>VLOOKUP(E35,'DADOS-CADASTRAIS'!C7:V71,19,0)</f>
        <v>0</v>
      </c>
      <c r="F65" s="523">
        <v>0</v>
      </c>
      <c r="G65" s="523">
        <v>0</v>
      </c>
      <c r="H65" s="523">
        <v>0</v>
      </c>
      <c r="I65" s="523">
        <v>0</v>
      </c>
      <c r="J65" s="529">
        <v>0</v>
      </c>
      <c r="K65" s="524">
        <f>VLOOKUP(K35,'DADOS-CADASTRAIS'!C5:Z71,19,0)</f>
        <v>0</v>
      </c>
      <c r="L65" s="532">
        <f>ROUND(VLOOKUP($C$14,'CAMPUS.CONTRATANTE'!$D$10:$HD$24,167,0)*C68,2)</f>
        <v>0</v>
      </c>
      <c r="M65" s="532">
        <f>ROUND(VLOOKUP($C$14,'CAMPUS.CONTRATANTE'!$D$10:$HD$24,184,0)*C68,2)</f>
        <v>0</v>
      </c>
      <c r="N65" s="532">
        <f>ROUND(VLOOKUP($C$14,'CAMPUS.CONTRATANTE'!$D$10:$HD$24,202,0)*C68,2)</f>
        <v>0</v>
      </c>
      <c r="O65" s="531"/>
      <c r="P65" s="533"/>
      <c r="Q65" s="533"/>
      <c r="R65" s="533"/>
      <c r="S65" s="533"/>
      <c r="T65" s="533"/>
      <c r="U65" s="533"/>
      <c r="V65" s="533"/>
      <c r="W65" s="533"/>
      <c r="X65" s="533"/>
      <c r="Y65" s="533"/>
      <c r="Z65" s="533"/>
    </row>
    <row r="66" spans="1:26" ht="15" customHeight="1">
      <c r="A66" s="531"/>
      <c r="B66" s="534" t="s">
        <v>233</v>
      </c>
      <c r="C66" s="535">
        <f>VLOOKUP(C35,'DADOS-CADASTRAIS'!C7:V71,15,0)</f>
        <v>0</v>
      </c>
      <c r="D66" s="536">
        <f>VLOOKUP(D35,'DADOS-CADASTRAIS'!C7:V71,15,0)</f>
        <v>0</v>
      </c>
      <c r="E66" s="536">
        <f>VLOOKUP(E35,'DADOS-CADASTRAIS'!C7:V71,15,0)</f>
        <v>0</v>
      </c>
      <c r="F66" s="536">
        <f>ROUND(VLOOKUP($C$14,'CAMPUS.CONTRATANTE'!$D$10:$HD$24,65,0)*C67,2)</f>
        <v>0</v>
      </c>
      <c r="G66" s="536">
        <f>ROUND(VLOOKUP($C$14,'CAMPUS.CONTRATANTE'!$D$10:$HD$24,82,0)*C67,2)</f>
        <v>0</v>
      </c>
      <c r="H66" s="536">
        <f>ROUND(VLOOKUP($C$14,'CAMPUS.CONTRATANTE'!$D$10:$HD$24,99,0)*C67,2)</f>
        <v>0</v>
      </c>
      <c r="I66" s="536">
        <f>ROUND(VLOOKUP($C$14,'CAMPUS.CONTRATANTE'!$D$10:$HD$24,116,0)*C67,2)</f>
        <v>0</v>
      </c>
      <c r="J66" s="524">
        <f>ROUND(VLOOKUP($C$14,'CAMPUS.CONTRATANTE'!$D$10:$HD$24,133,0)*C67,2)</f>
        <v>0</v>
      </c>
      <c r="K66" s="524">
        <f>IF(K52&gt;199,VLOOKUP(K35,'DADOS-CADASTRAIS'!C5:T71,15,0)*1,0)</f>
        <v>173.77</v>
      </c>
      <c r="L66" s="537">
        <v>0</v>
      </c>
      <c r="M66" s="537">
        <v>0</v>
      </c>
      <c r="N66" s="537">
        <v>0</v>
      </c>
      <c r="O66" s="531"/>
      <c r="P66" s="533"/>
      <c r="Q66" s="533"/>
      <c r="R66" s="533"/>
      <c r="S66" s="533"/>
      <c r="T66" s="533"/>
      <c r="U66" s="533"/>
      <c r="V66" s="533"/>
      <c r="W66" s="533"/>
      <c r="X66" s="533"/>
      <c r="Y66" s="533"/>
      <c r="Z66" s="533"/>
    </row>
    <row r="67" spans="1:26" ht="15" customHeight="1">
      <c r="A67" s="531"/>
      <c r="B67" s="538" t="s">
        <v>234</v>
      </c>
      <c r="C67" s="535">
        <f>VLOOKUP(C35,'DADOS-CADASTRAIS'!C7:V71,16,0)</f>
        <v>0</v>
      </c>
      <c r="D67" s="536">
        <f>VLOOKUP(D35,'DADOS-CADASTRAIS'!C7:V71,16,0)</f>
        <v>0</v>
      </c>
      <c r="E67" s="536">
        <f>VLOOKUP(E35,'DADOS-CADASTRAIS'!C7:V71,16,0)</f>
        <v>0</v>
      </c>
      <c r="F67" s="536">
        <f>ROUND(VLOOKUP($C$14,'CAMPUS.CONTRATANTE'!$D$10:$HD$24,65,0)*C68,2)</f>
        <v>0</v>
      </c>
      <c r="G67" s="536">
        <f>ROUND(VLOOKUP($C$14,'CAMPUS.CONTRATANTE'!$D$10:$HD$24,82,0)*C68,2)</f>
        <v>0</v>
      </c>
      <c r="H67" s="536">
        <f>ROUND(VLOOKUP($C$14,'CAMPUS.CONTRATANTE'!$D$10:$HD$24,99,0)*C68,2)</f>
        <v>0</v>
      </c>
      <c r="I67" s="536">
        <f>ROUND(VLOOKUP($C$14,'CAMPUS.CONTRATANTE'!$D$10:$HD$24,116,0)*C68,2)</f>
        <v>0</v>
      </c>
      <c r="J67" s="524">
        <f>ROUND(VLOOKUP($C$14,'CAMPUS.CONTRATANTE'!$D$10:$HD$24,133,0)*C68,2)</f>
        <v>0</v>
      </c>
      <c r="K67" s="524">
        <f>IF(K52&gt;199,VLOOKUP(K35,'DADOS-CADASTRAIS'!C5:T71,16,0)*1,0)</f>
        <v>20.75</v>
      </c>
      <c r="L67" s="537"/>
      <c r="M67" s="537"/>
      <c r="N67" s="537"/>
      <c r="O67" s="531"/>
      <c r="P67" s="533"/>
      <c r="Q67" s="533"/>
      <c r="R67" s="533"/>
      <c r="S67" s="533"/>
      <c r="T67" s="533"/>
      <c r="U67" s="533"/>
      <c r="V67" s="533"/>
      <c r="W67" s="533"/>
      <c r="X67" s="533"/>
      <c r="Y67" s="533"/>
      <c r="Z67" s="533"/>
    </row>
    <row r="68" spans="1:26" ht="15" customHeight="1">
      <c r="A68" s="539"/>
      <c r="B68" s="540" t="s">
        <v>235</v>
      </c>
      <c r="C68" s="535">
        <f>VLOOKUP(C35,'DADOS-CADASTRAIS'!C7:V71,17,0)</f>
        <v>0</v>
      </c>
      <c r="D68" s="536">
        <f>VLOOKUP(D35,'DADOS-CADASTRAIS'!C7:V71,17,0)</f>
        <v>0</v>
      </c>
      <c r="E68" s="536">
        <f>VLOOKUP(E35,'DADOS-CADASTRAIS'!C7:V71,17,0)</f>
        <v>0</v>
      </c>
      <c r="F68" s="536">
        <v>0</v>
      </c>
      <c r="G68" s="536">
        <v>0</v>
      </c>
      <c r="H68" s="536">
        <v>0</v>
      </c>
      <c r="I68" s="536">
        <v>0</v>
      </c>
      <c r="J68" s="524">
        <v>0</v>
      </c>
      <c r="K68" s="524">
        <f>IF(K52&gt;199,VLOOKUP(K35,'DADOS-CADASTRAIS'!C5:T71,17,0)*1,0)</f>
        <v>30.77</v>
      </c>
      <c r="L68" s="541" t="e">
        <f>ROUND(VLOOKUP($C$14,'CAMPUS.CONTRATANTE'!$D$10:$HD$24,168,0)*#REF!,2)</f>
        <v>#REF!</v>
      </c>
      <c r="M68" s="541" t="e">
        <f>ROUND(VLOOKUP($C$14,'CAMPUS.CONTRATANTE'!$D$10:$HD$24,185,0)*#REF!,2)</f>
        <v>#REF!</v>
      </c>
      <c r="N68" s="541" t="e">
        <f>ROUND(VLOOKUP($C$14,'CAMPUS.CONTRATANTE'!$D$10:$HD$24,202,0)*#REF!,2)</f>
        <v>#REF!</v>
      </c>
      <c r="O68" s="539"/>
      <c r="P68" s="542"/>
      <c r="Q68" s="542"/>
      <c r="R68" s="542"/>
      <c r="S68" s="542"/>
      <c r="T68" s="542"/>
      <c r="U68" s="542"/>
      <c r="V68" s="542"/>
      <c r="W68" s="542"/>
      <c r="X68" s="542"/>
      <c r="Y68" s="542"/>
      <c r="Z68" s="542"/>
    </row>
    <row r="69" spans="1:26" ht="15" customHeight="1">
      <c r="A69" s="539"/>
      <c r="B69" s="540" t="s">
        <v>236</v>
      </c>
      <c r="C69" s="535">
        <f>VLOOKUP(C35,'DADOS-CADASTRAIS'!C7:V71,18,0)</f>
        <v>0</v>
      </c>
      <c r="D69" s="536">
        <f>VLOOKUP(D35,'DADOS-CADASTRAIS'!C7:V71,18,0)</f>
        <v>0</v>
      </c>
      <c r="E69" s="536">
        <f>VLOOKUP(E35,'DADOS-CADASTRAIS'!C7:V71,18,0)</f>
        <v>0</v>
      </c>
      <c r="F69" s="536">
        <f>ROUND(VLOOKUP($C$14,'CAMPUS.CONTRATANTE'!$D$10:$HD$24,53,0),2)*0</f>
        <v>0</v>
      </c>
      <c r="G69" s="536">
        <f>ROUND(VLOOKUP($C$14,'CAMPUS.CONTRATANTE'!$D$10:$HD$24,53,0),2)*0</f>
        <v>0</v>
      </c>
      <c r="H69" s="536">
        <f>ROUND(VLOOKUP($C$14,'CAMPUS.CONTRATANTE'!$D$10:$HD$24,53,0),2)*0</f>
        <v>0</v>
      </c>
      <c r="I69" s="536">
        <f>ROUND(VLOOKUP($C$14,'CAMPUS.CONTRATANTE'!$D$10:$HD$24,53,0),2)*0</f>
        <v>0</v>
      </c>
      <c r="J69" s="524">
        <f>ROUND(VLOOKUP($C$14,'CAMPUS.CONTRATANTE'!$D$10:$HD$24,53,0),2)*0</f>
        <v>0</v>
      </c>
      <c r="K69" s="524">
        <f>IF(K52&gt;199,VLOOKUP(K35,'DADOS-CADASTRAIS'!C5:T71,18,0)*1,0)</f>
        <v>30.77</v>
      </c>
      <c r="L69" s="543">
        <v>0</v>
      </c>
      <c r="M69" s="543">
        <v>0</v>
      </c>
      <c r="N69" s="543">
        <v>0</v>
      </c>
      <c r="O69" s="539"/>
      <c r="P69" s="542"/>
      <c r="Q69" s="542"/>
      <c r="R69" s="542"/>
      <c r="S69" s="542"/>
      <c r="T69" s="542"/>
      <c r="U69" s="542"/>
      <c r="V69" s="542"/>
      <c r="W69" s="542"/>
      <c r="X69" s="542"/>
      <c r="Y69" s="542"/>
      <c r="Z69" s="542"/>
    </row>
    <row r="70" spans="1:26" ht="15" customHeight="1">
      <c r="A70" s="531"/>
      <c r="B70" s="540" t="s">
        <v>237</v>
      </c>
      <c r="C70" s="535">
        <v>0</v>
      </c>
      <c r="D70" s="535">
        <v>0</v>
      </c>
      <c r="E70" s="535">
        <v>0</v>
      </c>
      <c r="F70" s="535">
        <v>0</v>
      </c>
      <c r="G70" s="535">
        <v>0</v>
      </c>
      <c r="H70" s="535">
        <v>0</v>
      </c>
      <c r="I70" s="535">
        <v>0</v>
      </c>
      <c r="J70" s="544">
        <v>0</v>
      </c>
      <c r="K70" s="545">
        <v>15</v>
      </c>
      <c r="L70" s="546" t="str">
        <f>VLOOKUP(C14,'CAMPUS.CONTRATANTE'!$D$10:$HD$25,158,0)</f>
        <v>N</v>
      </c>
      <c r="M70" s="546" t="str">
        <f>VLOOKUP(C14,'CAMPUS.CONTRATANTE'!$D$10:$HD$25,175,0)</f>
        <v>N</v>
      </c>
      <c r="N70" s="546" t="str">
        <f>VLOOKUP(C14,'CAMPUS.CONTRATANTE'!$D$10:$HD$25,192,0)</f>
        <v>N</v>
      </c>
      <c r="O70" s="531"/>
      <c r="P70" s="533"/>
      <c r="Q70" s="533"/>
      <c r="R70" s="533"/>
      <c r="S70" s="533"/>
      <c r="T70" s="533"/>
      <c r="U70" s="533"/>
      <c r="V70" s="533"/>
      <c r="W70" s="533"/>
      <c r="X70" s="533"/>
      <c r="Y70" s="533"/>
      <c r="Z70" s="533"/>
    </row>
    <row r="71" spans="1:26" ht="15.75" customHeight="1">
      <c r="A71" s="539"/>
      <c r="B71" s="540" t="s">
        <v>238</v>
      </c>
      <c r="C71" s="547"/>
      <c r="D71" s="547"/>
      <c r="E71" s="547"/>
      <c r="F71" s="547"/>
      <c r="G71" s="547"/>
      <c r="H71" s="547"/>
      <c r="I71" s="547"/>
      <c r="J71" s="548"/>
      <c r="K71" s="549">
        <f>182.45*1.2</f>
        <v>218.93999999999997</v>
      </c>
      <c r="L71" s="541"/>
      <c r="M71" s="541"/>
      <c r="N71" s="541"/>
      <c r="O71" s="539"/>
      <c r="P71" s="542"/>
      <c r="Q71" s="542"/>
      <c r="R71" s="542"/>
      <c r="S71" s="542"/>
      <c r="T71" s="542"/>
      <c r="U71" s="542"/>
      <c r="V71" s="542"/>
      <c r="W71" s="542"/>
      <c r="X71" s="542"/>
      <c r="Y71" s="542"/>
      <c r="Z71" s="542"/>
    </row>
    <row r="72" spans="1:26" ht="15" customHeight="1">
      <c r="A72" s="426"/>
      <c r="B72" s="495" t="s">
        <v>239</v>
      </c>
      <c r="C72" s="523">
        <f>VLOOKUP(C14,'CAMPUS.CONTRATANTE'!$D$10:$BE$24,2,0)</f>
        <v>6.82</v>
      </c>
      <c r="D72" s="550">
        <f t="shared" ref="D72:N72" si="9">C72</f>
        <v>6.82</v>
      </c>
      <c r="E72" s="550">
        <f t="shared" si="9"/>
        <v>6.82</v>
      </c>
      <c r="F72" s="550">
        <f t="shared" si="9"/>
        <v>6.82</v>
      </c>
      <c r="G72" s="550">
        <f t="shared" si="9"/>
        <v>6.82</v>
      </c>
      <c r="H72" s="550">
        <f t="shared" si="9"/>
        <v>6.82</v>
      </c>
      <c r="I72" s="550">
        <f t="shared" si="9"/>
        <v>6.82</v>
      </c>
      <c r="J72" s="524">
        <f t="shared" si="9"/>
        <v>6.82</v>
      </c>
      <c r="K72" s="524">
        <f t="shared" si="9"/>
        <v>6.82</v>
      </c>
      <c r="L72" s="551">
        <f t="shared" si="9"/>
        <v>6.82</v>
      </c>
      <c r="M72" s="551">
        <f t="shared" si="9"/>
        <v>6.82</v>
      </c>
      <c r="N72" s="551">
        <f t="shared" si="9"/>
        <v>6.82</v>
      </c>
      <c r="O72" s="490"/>
    </row>
    <row r="73" spans="1:26" ht="15" customHeight="1">
      <c r="A73" s="426"/>
      <c r="B73" s="495" t="s">
        <v>240</v>
      </c>
      <c r="C73" s="552">
        <v>2</v>
      </c>
      <c r="D73" s="552">
        <f t="shared" ref="D73:N73" si="10">C73</f>
        <v>2</v>
      </c>
      <c r="E73" s="552">
        <f t="shared" si="10"/>
        <v>2</v>
      </c>
      <c r="F73" s="552">
        <f t="shared" si="10"/>
        <v>2</v>
      </c>
      <c r="G73" s="552">
        <f t="shared" si="10"/>
        <v>2</v>
      </c>
      <c r="H73" s="552">
        <f t="shared" si="10"/>
        <v>2</v>
      </c>
      <c r="I73" s="552">
        <f t="shared" si="10"/>
        <v>2</v>
      </c>
      <c r="J73" s="553">
        <f t="shared" si="10"/>
        <v>2</v>
      </c>
      <c r="K73" s="553">
        <f t="shared" si="10"/>
        <v>2</v>
      </c>
      <c r="L73" s="508">
        <f t="shared" si="10"/>
        <v>2</v>
      </c>
      <c r="M73" s="508">
        <f t="shared" si="10"/>
        <v>2</v>
      </c>
      <c r="N73" s="508">
        <f t="shared" si="10"/>
        <v>2</v>
      </c>
      <c r="O73" s="490"/>
    </row>
    <row r="74" spans="1:26" ht="15" customHeight="1">
      <c r="A74" s="426"/>
      <c r="B74" s="495" t="s">
        <v>241</v>
      </c>
      <c r="C74" s="554">
        <f>VLOOKUP(C14,'CAMPUS.CONTRATANTE'!$D$10:$HD$25,16,0)</f>
        <v>20.5</v>
      </c>
      <c r="D74" s="554">
        <f>VLOOKUP(C14,'CAMPUS.CONTRATANTE'!$D$10:$HD$25,33,0)</f>
        <v>20.5</v>
      </c>
      <c r="E74" s="554">
        <f>VLOOKUP(C14,'CAMPUS.CONTRATANTE'!$D$10:$HD$25,50,0)</f>
        <v>20.5</v>
      </c>
      <c r="F74" s="554">
        <f>VLOOKUP(C14,'CAMPUS.CONTRATANTE'!$D$10:$HD$25,67,0)</f>
        <v>20.5</v>
      </c>
      <c r="G74" s="554">
        <f>VLOOKUP(C14,'CAMPUS.CONTRATANTE'!$D$10:$HD$25,84,0)</f>
        <v>20.5</v>
      </c>
      <c r="H74" s="554">
        <f>VLOOKUP(C14,'CAMPUS.CONTRATANTE'!$D$10:$HD$25,101,0)</f>
        <v>20.5</v>
      </c>
      <c r="I74" s="554">
        <f>VLOOKUP(C14,'CAMPUS.CONTRATANTE'!$D$10:$HD$25,118,0)</f>
        <v>20.5</v>
      </c>
      <c r="J74" s="553">
        <f>VLOOKUP(C14,'CAMPUS.CONTRATANTE'!$D$10:$HD$25,135,0)</f>
        <v>22</v>
      </c>
      <c r="K74" s="553">
        <f>VLOOKUP(C14,'CAMPUS.CONTRATANTE'!$D$10:$HD$25,152,0)</f>
        <v>22</v>
      </c>
      <c r="L74" s="508">
        <f>VLOOKUP(C14,'CAMPUS.CONTRATANTE'!$D$10:$HD$25,169,0)</f>
        <v>9</v>
      </c>
      <c r="M74" s="508">
        <f>VLOOKUP(C14,'CAMPUS.CONTRATANTE'!$D$10:$HD$25,186,0)</f>
        <v>0</v>
      </c>
      <c r="N74" s="508">
        <f>VLOOKUP(C14,'CAMPUS.CONTRATANTE'!$D$10:$HD$25,203,0)</f>
        <v>0</v>
      </c>
      <c r="O74" s="490"/>
    </row>
    <row r="75" spans="1:26" ht="16.5" customHeight="1">
      <c r="A75" s="426"/>
      <c r="B75" s="495" t="s">
        <v>242</v>
      </c>
      <c r="C75" s="482">
        <f>VLOOKUP(C35,'DADOS-CADASTRAIS'!C6:O29,7,0)</f>
        <v>0.06</v>
      </c>
      <c r="D75" s="482">
        <f>VLOOKUP(D35,'DADOS-CADASTRAIS'!C6:O29,7,0)</f>
        <v>0.06</v>
      </c>
      <c r="E75" s="482">
        <f>VLOOKUP(E35,'DADOS-CADASTRAIS'!C6:O29,7,0)</f>
        <v>0.06</v>
      </c>
      <c r="F75" s="482">
        <f>VLOOKUP(E35,'DADOS-CADASTRAIS'!C6:O29,7,0)</f>
        <v>0.06</v>
      </c>
      <c r="G75" s="482">
        <f>VLOOKUP(G35,'DADOS-CADASTRAIS'!C6:O29,7,0)</f>
        <v>0.06</v>
      </c>
      <c r="H75" s="482">
        <f>VLOOKUP(H35,'DADOS-CADASTRAIS'!C6:O29,7,0)</f>
        <v>0.06</v>
      </c>
      <c r="I75" s="482">
        <f>VLOOKUP(I35,'DADOS-CADASTRAIS'!C6:O29,7,0)</f>
        <v>0.06</v>
      </c>
      <c r="J75" s="481">
        <f>VLOOKUP(J35,'DADOS-CADASTRAIS'!C6:O29,7,0)</f>
        <v>0.06</v>
      </c>
      <c r="K75" s="481">
        <f>VLOOKUP(K35,'DADOS-CADASTRAIS'!C6:O29,7,0)</f>
        <v>0.06</v>
      </c>
      <c r="L75" s="555">
        <f>VLOOKUP(L35,'DADOS-CADASTRAIS'!C6:O29,7,0)</f>
        <v>0.06</v>
      </c>
      <c r="M75" s="555">
        <f>VLOOKUP(L35,'DADOS-CADASTRAIS'!C6:O29,7,0)</f>
        <v>0.06</v>
      </c>
      <c r="N75" s="555">
        <f>VLOOKUP(L35,'DADOS-CADASTRAIS'!C6:O29,7,0)</f>
        <v>0.06</v>
      </c>
      <c r="O75" s="490"/>
    </row>
    <row r="76" spans="1:26" ht="14.25" customHeight="1">
      <c r="A76" s="426"/>
      <c r="B76" s="495" t="s">
        <v>243</v>
      </c>
      <c r="C76" s="523">
        <f>VLOOKUP(C35,'DADOS-CADASTRAIS'!C6:O29,9,0)</f>
        <v>25.52</v>
      </c>
      <c r="D76" s="523">
        <f>VLOOKUP(D35,'DADOS-CADASTRAIS'!C6:O29,9,0)</f>
        <v>25.52</v>
      </c>
      <c r="E76" s="523">
        <f>VLOOKUP(E35,'DADOS-CADASTRAIS'!C6:O29,9,0)</f>
        <v>0</v>
      </c>
      <c r="F76" s="523">
        <f>VLOOKUP(F35,'DADOS-CADASTRAIS'!C6:O29,9,0)</f>
        <v>0</v>
      </c>
      <c r="G76" s="523">
        <f>VLOOKUP(H35,'DADOS-CADASTRAIS'!C6:O29,9,0)</f>
        <v>0</v>
      </c>
      <c r="H76" s="523">
        <f>VLOOKUP(H35,'DADOS-CADASTRAIS'!C6:O29,9,0)</f>
        <v>0</v>
      </c>
      <c r="I76" s="523">
        <f>VLOOKUP(I35,'DADOS-CADASTRAIS'!C6:O29,9,0)</f>
        <v>25.52</v>
      </c>
      <c r="J76" s="524">
        <f>VLOOKUP(J35,'DADOS-CADASTRAIS'!C6:O29,9,0)</f>
        <v>0</v>
      </c>
      <c r="K76" s="524">
        <f>VLOOKUP(K35,'DADOS-CADASTRAIS'!C6:O29,9,0)</f>
        <v>0</v>
      </c>
      <c r="L76" s="525">
        <f>VLOOKUP(L35,'DADOS-CADASTRAIS'!C6:O29,9,0)</f>
        <v>0</v>
      </c>
      <c r="M76" s="525">
        <f>VLOOKUP(L35,'DADOS-CADASTRAIS'!C6:O29,7,0)</f>
        <v>0.06</v>
      </c>
      <c r="N76" s="525">
        <f>VLOOKUP(L35,'DADOS-CADASTRAIS'!C6:O29,7,0)</f>
        <v>0.06</v>
      </c>
      <c r="O76" s="490"/>
    </row>
    <row r="77" spans="1:26" ht="14.25" customHeight="1">
      <c r="A77" s="426"/>
      <c r="B77" s="495" t="s">
        <v>244</v>
      </c>
      <c r="C77" s="523">
        <v>0</v>
      </c>
      <c r="D77" s="523">
        <v>0</v>
      </c>
      <c r="E77" s="523">
        <v>0</v>
      </c>
      <c r="F77" s="523">
        <v>0</v>
      </c>
      <c r="G77" s="523">
        <v>0</v>
      </c>
      <c r="H77" s="523">
        <v>0</v>
      </c>
      <c r="I77" s="523">
        <f>IF(VLOOKUP(I35,'DADOS-CADASTRAIS'!C5:Z29,10,0)="S",'3341-10_MONITOR-de-ALUNOS_40h'!J58*26*0.00023,0)</f>
        <v>15.507694800000003</v>
      </c>
      <c r="J77" s="524">
        <f>IF(VLOOKUP(J35,'DADOS-CADASTRAIS'!C5:Z29,10,0)="S",'A NAO TEM MAIS POSTO 66'!J58*26*0.00023,0)</f>
        <v>6.5619790363636366</v>
      </c>
      <c r="K77" s="524">
        <f>IF(VLOOKUP(K35,'DADOS-CADASTRAIS'!C5:Z29,10,0)="S",'A NAO TEM MAIS POSTO 771'!J58*26*0.00023,0)</f>
        <v>17.492157800000001</v>
      </c>
      <c r="L77" s="525" t="e">
        <f>VLOOKUP(L35,'DADOS-CADASTRAIS'!C5:L6,10,0)</f>
        <v>#N/A</v>
      </c>
      <c r="M77" s="525">
        <f>VLOOKUP(L35,'DADOS-CADASTRAIS'!C6:O29,7,0)</f>
        <v>0.06</v>
      </c>
      <c r="N77" s="525">
        <f>VLOOKUP(L35,'DADOS-CADASTRAIS'!C6:O29,7,0)</f>
        <v>0.06</v>
      </c>
      <c r="O77" s="490"/>
    </row>
    <row r="78" spans="1:26" ht="18" customHeight="1">
      <c r="A78" s="426"/>
      <c r="B78" s="454" t="s">
        <v>245</v>
      </c>
      <c r="C78" s="523">
        <f>IF(VLOOKUP(C35,'DADOS-CADASTRAIS'!C5:U29,10,0)="S",('5162_20_CUIDADOR-de-ALUNOS_40h'!J47*0.0052066)/12,2)*0</f>
        <v>0</v>
      </c>
      <c r="D78" s="523">
        <f>IF(VLOOKUP(C35,'DADOS-CADASTRAIS'!C5:O29,11,0)="S",('5162_20_CUIDADOR-de-ALUNOS_20h'!J47*0.0052066)/12,2)*0</f>
        <v>0</v>
      </c>
      <c r="E78" s="523">
        <f>IF(VLOOKUP(C35,'DADOS-CADASTRAIS'!C5:O29,10,0)="S",'3341-05_INSTRUTOR-de-ALUNOS_40h'!J58*26*0.00023,0)*0</f>
        <v>0</v>
      </c>
      <c r="F78" s="523">
        <f>IF(VLOOKUP(D35,'DADOS-CADASTRAIS'!C5:U29,10,0)="S",'3341-05_INSTRUTOR-de-ALUNOS_20h'!K58*26*0.00023,0)*0</f>
        <v>0</v>
      </c>
      <c r="G78" s="523">
        <v>0</v>
      </c>
      <c r="H78" s="523">
        <v>0</v>
      </c>
      <c r="I78" s="523">
        <v>0</v>
      </c>
      <c r="J78" s="524">
        <f>IF(VLOOKUP(F35,'DADOS-CADASTRAIS'!C5:W29,10,0)="S",#REF!*26*0.00023,0)</f>
        <v>0</v>
      </c>
      <c r="K78" s="524">
        <f>IF(VLOOKUP(G35,'DADOS-CADASTRAIS'!C5:X29,10,0)="S",#REF!*26*0.00023,0)</f>
        <v>0</v>
      </c>
      <c r="L78" s="525" t="e">
        <f>VLOOKUP(L35,'DADOS-CADASTRAIS'!C6:M6,11,0)</f>
        <v>#N/A</v>
      </c>
      <c r="M78" s="525">
        <f>VLOOKUP(L35,'DADOS-CADASTRAIS'!C6:O29,7,0)</f>
        <v>0.06</v>
      </c>
      <c r="N78" s="525">
        <f>VLOOKUP(L35,'DADOS-CADASTRAIS'!C6:O29,7,0)</f>
        <v>0.06</v>
      </c>
      <c r="O78" s="490"/>
    </row>
    <row r="79" spans="1:26" ht="18" customHeight="1">
      <c r="A79" s="426"/>
      <c r="B79" s="454" t="s">
        <v>246</v>
      </c>
      <c r="C79" s="523">
        <f>VLOOKUP(C35,'DADOS-CADASTRAIS'!C5:U29,13,0)</f>
        <v>0</v>
      </c>
      <c r="D79" s="523">
        <f>VLOOKUP(D35,'DADOS-CADASTRAIS'!C5:U29,13,0)</f>
        <v>0</v>
      </c>
      <c r="E79" s="523">
        <f>VLOOKUP(E35,'DADOS-CADASTRAIS'!C5:U29,13,0)</f>
        <v>0</v>
      </c>
      <c r="F79" s="523">
        <f>VLOOKUP(F35,'DADOS-CADASTRAIS'!C5:U29,13,0)</f>
        <v>0</v>
      </c>
      <c r="G79" s="523">
        <f>VLOOKUP(G35,'DADOS-CADASTRAIS'!C5:U29,13,0)</f>
        <v>0</v>
      </c>
      <c r="H79" s="523">
        <f>VLOOKUP(H35,'DADOS-CADASTRAIS'!C5:U29,13,0)</f>
        <v>0</v>
      </c>
      <c r="I79" s="523">
        <f>VLOOKUP(I35,'DADOS-CADASTRAIS'!C5:U29,13,0)</f>
        <v>0</v>
      </c>
      <c r="J79" s="524">
        <f>VLOOKUP(J35,'DADOS-CADASTRAIS'!C5:W29,13,0)</f>
        <v>0</v>
      </c>
      <c r="K79" s="524">
        <f>VLOOKUP(K35,'DADOS-CADASTRAIS'!C5:X29,13,0)</f>
        <v>0</v>
      </c>
      <c r="L79" s="556"/>
      <c r="M79" s="556"/>
      <c r="N79" s="556"/>
      <c r="O79" s="490"/>
    </row>
    <row r="80" spans="1:26" ht="18" customHeight="1">
      <c r="A80" s="426"/>
      <c r="B80" s="557" t="s">
        <v>247</v>
      </c>
      <c r="C80" s="523"/>
      <c r="D80" s="523"/>
      <c r="E80" s="523"/>
      <c r="F80" s="523"/>
      <c r="G80" s="523"/>
      <c r="H80" s="523"/>
      <c r="I80" s="523"/>
      <c r="J80" s="524"/>
      <c r="K80" s="524"/>
      <c r="L80" s="491"/>
      <c r="M80" s="491"/>
      <c r="N80" s="491"/>
      <c r="O80" s="490"/>
    </row>
    <row r="81" spans="1:15" ht="46.5" customHeight="1">
      <c r="A81" s="426"/>
      <c r="B81" s="558" t="s">
        <v>248</v>
      </c>
      <c r="C81" s="559" t="str">
        <f>VLOOKUP(C14,'CAMPUS.CONTRATANTE'!$D$10:$HD$24,20,0)</f>
        <v>N</v>
      </c>
      <c r="D81" s="559" t="str">
        <f>VLOOKUP(C14,'CAMPUS.CONTRATANTE'!$D$10:$HD$24,37,0)</f>
        <v>N</v>
      </c>
      <c r="E81" s="559" t="str">
        <f>VLOOKUP(C14,'CAMPUS.CONTRATANTE'!$D$10:$HD$24,54,0)</f>
        <v>N</v>
      </c>
      <c r="F81" s="559" t="str">
        <f>VLOOKUP(C14,'CAMPUS.CONTRATANTE'!$D$10:$HD$24,71,0)</f>
        <v>N</v>
      </c>
      <c r="G81" s="559" t="str">
        <f>VLOOKUP(C14,'CAMPUS.CONTRATANTE'!$D$10:$HD$24,88,0)</f>
        <v>N</v>
      </c>
      <c r="H81" s="559" t="str">
        <f>VLOOKUP(C14,'CAMPUS.CONTRATANTE'!$D$10:$HD$24,105,0)</f>
        <v>N</v>
      </c>
      <c r="I81" s="559" t="str">
        <f>VLOOKUP(C14,'CAMPUS.CONTRATANTE'!$D$10:$HD$24,122,0)</f>
        <v>N</v>
      </c>
      <c r="J81" s="560" t="str">
        <f>VLOOKUP(C14,'CAMPUS.CONTRATANTE'!$D$10:$HD$24,139,0)</f>
        <v>S</v>
      </c>
      <c r="K81" s="560" t="str">
        <f>VLOOKUP(C14,'CAMPUS.CONTRATANTE'!$D$10:$HD$24,156,0)</f>
        <v>S</v>
      </c>
      <c r="L81" s="29"/>
      <c r="M81" s="29"/>
      <c r="N81" s="29"/>
      <c r="O81" s="490"/>
    </row>
    <row r="82" spans="1:15" ht="12.75" customHeight="1">
      <c r="A82" s="426"/>
      <c r="B82" s="1532" t="s">
        <v>249</v>
      </c>
      <c r="C82" s="1456"/>
      <c r="D82" s="1475"/>
      <c r="E82" s="456"/>
      <c r="F82" s="456"/>
      <c r="G82" s="456"/>
      <c r="H82" s="456"/>
      <c r="I82" s="456"/>
      <c r="J82" s="457"/>
      <c r="K82" s="457"/>
      <c r="L82" s="491"/>
      <c r="M82" s="491"/>
      <c r="N82" s="491"/>
      <c r="O82" s="490"/>
    </row>
    <row r="83" spans="1:15" ht="15.75" customHeight="1">
      <c r="A83" s="426"/>
      <c r="B83" s="1531" t="str">
        <f>C11</f>
        <v xml:space="preserve">S E R V I Ç O S     =    CUIDADOR - INSTRUTOR - PSICOPEDAGOGO - MONITOR </v>
      </c>
      <c r="C83" s="1419"/>
      <c r="D83" s="1419"/>
      <c r="E83" s="458"/>
      <c r="F83" s="458"/>
      <c r="G83" s="458"/>
      <c r="H83" s="458"/>
      <c r="I83" s="458"/>
      <c r="J83" s="457"/>
      <c r="K83" s="457"/>
      <c r="L83" s="29"/>
      <c r="M83" s="29"/>
      <c r="N83" s="29"/>
      <c r="O83" s="490"/>
    </row>
    <row r="84" spans="1:15" ht="24" customHeight="1">
      <c r="A84" s="426"/>
      <c r="B84" s="426"/>
      <c r="C84" s="492" t="str">
        <f t="shared" ref="C84:N84" si="11">C56</f>
        <v>5162_20_CUIDADOR-de-ALUNOS_40h</v>
      </c>
      <c r="D84" s="561" t="str">
        <f t="shared" si="11"/>
        <v>5162_20_CUIDADOR-de-ALUNOS_20h</v>
      </c>
      <c r="E84" s="492" t="str">
        <f t="shared" si="11"/>
        <v>3341-05_INSTRUTOR-de-ALUNOS_40hs</v>
      </c>
      <c r="F84" s="492" t="str">
        <f t="shared" si="11"/>
        <v>3341-05_INSTRUTOR-de-ALUNOS_20hs</v>
      </c>
      <c r="G84" s="492" t="str">
        <f t="shared" si="11"/>
        <v>2394-25_PSICOPEGAGOGO_40h</v>
      </c>
      <c r="H84" s="492" t="str">
        <f t="shared" si="11"/>
        <v>2394-25_PSICOPEGAGOGO_20h</v>
      </c>
      <c r="I84" s="492" t="str">
        <f t="shared" si="11"/>
        <v>3341-10_MONITOR-de-ALUNOS_40h</v>
      </c>
      <c r="J84" s="493" t="str">
        <f t="shared" si="11"/>
        <v>NAO TEM MAIS POSTO 55</v>
      </c>
      <c r="K84" s="493" t="str">
        <f t="shared" si="11"/>
        <v>NAO TEM MAIS POSTO 66</v>
      </c>
      <c r="L84" s="494" t="str">
        <f t="shared" si="11"/>
        <v>A NÃO TEM MAIS POSTOS-77</v>
      </c>
      <c r="M84" s="494" t="str">
        <f t="shared" si="11"/>
        <v>A NÃO TEM MAIS POSTOS-88</v>
      </c>
      <c r="N84" s="494" t="str">
        <f t="shared" si="11"/>
        <v>A NÃO TEM MAIS POSTOS-99</v>
      </c>
      <c r="O84" s="490"/>
    </row>
    <row r="85" spans="1:15" ht="15" customHeight="1">
      <c r="A85" s="426"/>
      <c r="B85" s="454" t="s">
        <v>250</v>
      </c>
      <c r="C85" s="562">
        <v>0.06</v>
      </c>
      <c r="D85" s="563">
        <v>0.06</v>
      </c>
      <c r="E85" s="562">
        <v>0.06</v>
      </c>
      <c r="F85" s="562">
        <v>0.06</v>
      </c>
      <c r="G85" s="562">
        <v>0.06</v>
      </c>
      <c r="H85" s="562">
        <v>0.06</v>
      </c>
      <c r="I85" s="562">
        <v>0.06</v>
      </c>
      <c r="J85" s="564">
        <v>0.06</v>
      </c>
      <c r="K85" s="564">
        <v>0.06</v>
      </c>
      <c r="L85" s="565">
        <v>0.06</v>
      </c>
      <c r="M85" s="565">
        <v>0.06</v>
      </c>
      <c r="N85" s="565">
        <v>0.06</v>
      </c>
      <c r="O85" s="490"/>
    </row>
    <row r="86" spans="1:15" ht="15" customHeight="1">
      <c r="A86" s="426"/>
      <c r="B86" s="454" t="s">
        <v>251</v>
      </c>
      <c r="C86" s="566">
        <v>0.06</v>
      </c>
      <c r="D86" s="567">
        <v>0.06</v>
      </c>
      <c r="E86" s="566">
        <v>0.06</v>
      </c>
      <c r="F86" s="566">
        <v>0.06</v>
      </c>
      <c r="G86" s="566">
        <v>0.06</v>
      </c>
      <c r="H86" s="566">
        <v>0.06</v>
      </c>
      <c r="I86" s="566">
        <v>0.06</v>
      </c>
      <c r="J86" s="568">
        <v>0.06</v>
      </c>
      <c r="K86" s="568">
        <v>0.06</v>
      </c>
      <c r="L86" s="565">
        <v>0.06</v>
      </c>
      <c r="M86" s="565">
        <v>0.06</v>
      </c>
      <c r="N86" s="565">
        <v>0.06</v>
      </c>
      <c r="O86" s="490"/>
    </row>
    <row r="87" spans="1:15" ht="15" customHeight="1">
      <c r="A87" s="426"/>
      <c r="B87" s="454" t="s">
        <v>252</v>
      </c>
      <c r="C87" s="569">
        <f>VLOOKUP(C14,'CAMPUS.CONTRATANTE'!$D$10:$BE$24,3,0)/100</f>
        <v>0.02</v>
      </c>
      <c r="D87" s="570">
        <f t="shared" ref="D87:N87" si="12">C87</f>
        <v>0.02</v>
      </c>
      <c r="E87" s="569">
        <f t="shared" si="12"/>
        <v>0.02</v>
      </c>
      <c r="F87" s="569">
        <f t="shared" si="12"/>
        <v>0.02</v>
      </c>
      <c r="G87" s="569">
        <f t="shared" si="12"/>
        <v>0.02</v>
      </c>
      <c r="H87" s="569">
        <f t="shared" si="12"/>
        <v>0.02</v>
      </c>
      <c r="I87" s="569">
        <f t="shared" si="12"/>
        <v>0.02</v>
      </c>
      <c r="J87" s="571">
        <f t="shared" si="12"/>
        <v>0.02</v>
      </c>
      <c r="K87" s="571">
        <f t="shared" si="12"/>
        <v>0.02</v>
      </c>
      <c r="L87" s="565">
        <f t="shared" si="12"/>
        <v>0.02</v>
      </c>
      <c r="M87" s="565">
        <f t="shared" si="12"/>
        <v>0.02</v>
      </c>
      <c r="N87" s="565">
        <f t="shared" si="12"/>
        <v>0.02</v>
      </c>
      <c r="O87" s="490"/>
    </row>
    <row r="88" spans="1:15" ht="12.75" customHeight="1">
      <c r="A88" s="426"/>
      <c r="B88" s="454"/>
      <c r="C88" s="426"/>
      <c r="D88" s="426"/>
      <c r="E88" s="426"/>
      <c r="F88" s="426"/>
      <c r="G88" s="426"/>
      <c r="H88" s="426"/>
      <c r="I88" s="426"/>
      <c r="J88" s="442"/>
      <c r="K88" s="442"/>
      <c r="L88" s="491"/>
      <c r="M88" s="491"/>
      <c r="N88" s="491"/>
      <c r="O88" s="490"/>
    </row>
    <row r="89" spans="1:15" ht="12.75" customHeight="1">
      <c r="A89" s="426"/>
      <c r="B89" s="1532" t="s">
        <v>253</v>
      </c>
      <c r="C89" s="1456"/>
      <c r="D89" s="1475"/>
      <c r="E89" s="456"/>
      <c r="F89" s="456"/>
      <c r="G89" s="456"/>
      <c r="H89" s="456"/>
      <c r="I89" s="456"/>
      <c r="J89" s="457"/>
      <c r="K89" s="457"/>
      <c r="L89" s="572"/>
      <c r="M89" s="572"/>
      <c r="N89" s="572"/>
      <c r="O89" s="490"/>
    </row>
    <row r="90" spans="1:15" ht="12.75" customHeight="1">
      <c r="A90" s="426"/>
      <c r="B90" s="426"/>
      <c r="C90" s="426"/>
      <c r="D90" s="426"/>
      <c r="E90" s="426"/>
      <c r="F90" s="426"/>
      <c r="G90" s="426"/>
      <c r="H90" s="426"/>
      <c r="I90" s="426"/>
      <c r="J90" s="445"/>
      <c r="K90" s="445"/>
      <c r="L90" s="491"/>
      <c r="M90" s="491"/>
      <c r="N90" s="491"/>
      <c r="O90" s="490"/>
    </row>
    <row r="91" spans="1:15" ht="39" customHeight="1">
      <c r="A91" s="426"/>
      <c r="B91" s="426"/>
      <c r="C91" s="492" t="str">
        <f t="shared" ref="C91:N91" si="13">C84</f>
        <v>5162_20_CUIDADOR-de-ALUNOS_40h</v>
      </c>
      <c r="D91" s="492" t="str">
        <f t="shared" si="13"/>
        <v>5162_20_CUIDADOR-de-ALUNOS_20h</v>
      </c>
      <c r="E91" s="492" t="str">
        <f t="shared" si="13"/>
        <v>3341-05_INSTRUTOR-de-ALUNOS_40hs</v>
      </c>
      <c r="F91" s="492" t="str">
        <f t="shared" si="13"/>
        <v>3341-05_INSTRUTOR-de-ALUNOS_20hs</v>
      </c>
      <c r="G91" s="492" t="str">
        <f t="shared" si="13"/>
        <v>2394-25_PSICOPEGAGOGO_40h</v>
      </c>
      <c r="H91" s="492" t="str">
        <f t="shared" si="13"/>
        <v>2394-25_PSICOPEGAGOGO_20h</v>
      </c>
      <c r="I91" s="492" t="str">
        <f t="shared" si="13"/>
        <v>3341-10_MONITOR-de-ALUNOS_40h</v>
      </c>
      <c r="J91" s="493" t="str">
        <f t="shared" si="13"/>
        <v>NAO TEM MAIS POSTO 55</v>
      </c>
      <c r="K91" s="493" t="str">
        <f t="shared" si="13"/>
        <v>NAO TEM MAIS POSTO 66</v>
      </c>
      <c r="L91" s="494" t="str">
        <f t="shared" si="13"/>
        <v>A NÃO TEM MAIS POSTOS-77</v>
      </c>
      <c r="M91" s="494" t="str">
        <f t="shared" si="13"/>
        <v>A NÃO TEM MAIS POSTOS-88</v>
      </c>
      <c r="N91" s="494" t="str">
        <f t="shared" si="13"/>
        <v>A NÃO TEM MAIS POSTOS-99</v>
      </c>
      <c r="O91" s="490"/>
    </row>
    <row r="92" spans="1:15" ht="30.75" customHeight="1">
      <c r="A92" s="426"/>
      <c r="B92" s="454" t="s">
        <v>254</v>
      </c>
      <c r="C92" s="573">
        <f>VLOOKUP(C14,'CAMPUS.CONTRATANTE'!$D$10:$HC$24,4,0)</f>
        <v>0</v>
      </c>
      <c r="D92" s="573">
        <f>VLOOKUP(C14,'CAMPUS.CONTRATANTE'!$D$10:$HC$24,21,0)</f>
        <v>0</v>
      </c>
      <c r="E92" s="573">
        <f>VLOOKUP(C14,'CAMPUS.CONTRATANTE'!$D$10:$HC$24,38,0)</f>
        <v>3</v>
      </c>
      <c r="F92" s="573">
        <f>VLOOKUP(C14,'CAMPUS.CONTRATANTE'!$D$10:$HC$24,55,0)</f>
        <v>0</v>
      </c>
      <c r="G92" s="573">
        <f>VLOOKUP(C14,'CAMPUS.CONTRATANTE'!$D$10:$HC$24,72,0)</f>
        <v>1</v>
      </c>
      <c r="H92" s="573">
        <f>VLOOKUP(C14,'CAMPUS.CONTRATANTE'!$D$10:$HC$24,89,0)</f>
        <v>1</v>
      </c>
      <c r="I92" s="573">
        <f>VLOOKUP(C14,'CAMPUS.CONTRATANTE'!$D$10:$HC$24,106,0)</f>
        <v>0</v>
      </c>
      <c r="J92" s="574">
        <f>VLOOKUP(C14,'CAMPUS.CONTRATANTE'!$D$10:$HC$24,123,0)</f>
        <v>0</v>
      </c>
      <c r="K92" s="575">
        <f>VLOOKUP(C14,'CAMPUS.CONTRATANTE'!$D$10:$HC$24,140,0)</f>
        <v>0</v>
      </c>
      <c r="L92" s="576">
        <f>VLOOKUP(C14,'CAMPUS.CONTRATANTE'!$D$10:$HC$24,157,0)</f>
        <v>0</v>
      </c>
      <c r="M92" s="576">
        <f>VLOOKUP(C14,'CAMPUS.CONTRATANTE'!$D$10:$HC$24,174,0)</f>
        <v>0</v>
      </c>
      <c r="N92" s="576">
        <f>VLOOKUP(C14,'CAMPUS.CONTRATANTE'!$D$10:$HC$24,191,0)</f>
        <v>0</v>
      </c>
      <c r="O92" s="490"/>
    </row>
    <row r="93" spans="1:15" ht="22.5" customHeight="1">
      <c r="A93" s="426"/>
      <c r="B93" s="454" t="s">
        <v>255</v>
      </c>
      <c r="C93" s="577">
        <v>1</v>
      </c>
      <c r="D93" s="577">
        <v>1</v>
      </c>
      <c r="E93" s="577">
        <v>1</v>
      </c>
      <c r="F93" s="577">
        <v>1</v>
      </c>
      <c r="G93" s="577">
        <v>1</v>
      </c>
      <c r="H93" s="577">
        <v>1</v>
      </c>
      <c r="I93" s="577">
        <v>1</v>
      </c>
      <c r="J93" s="578">
        <v>1</v>
      </c>
      <c r="K93" s="578">
        <v>1</v>
      </c>
      <c r="L93" s="579">
        <v>1</v>
      </c>
      <c r="M93" s="579">
        <v>1</v>
      </c>
      <c r="N93" s="579">
        <v>1</v>
      </c>
      <c r="O93" s="490"/>
    </row>
    <row r="94" spans="1:15" ht="24" customHeight="1">
      <c r="A94" s="426"/>
      <c r="B94" s="580" t="s">
        <v>256</v>
      </c>
      <c r="C94" s="577">
        <v>30</v>
      </c>
      <c r="D94" s="577">
        <f t="shared" ref="D94:E94" si="14">C94</f>
        <v>30</v>
      </c>
      <c r="E94" s="577">
        <f t="shared" si="14"/>
        <v>30</v>
      </c>
      <c r="F94" s="577">
        <v>30</v>
      </c>
      <c r="G94" s="577">
        <v>30</v>
      </c>
      <c r="H94" s="577">
        <v>30</v>
      </c>
      <c r="I94" s="577">
        <v>30</v>
      </c>
      <c r="J94" s="581">
        <f t="shared" ref="J94:N94" si="15">I94</f>
        <v>30</v>
      </c>
      <c r="K94" s="581">
        <f t="shared" si="15"/>
        <v>30</v>
      </c>
      <c r="L94" s="579">
        <f t="shared" si="15"/>
        <v>30</v>
      </c>
      <c r="M94" s="579">
        <f t="shared" si="15"/>
        <v>30</v>
      </c>
      <c r="N94" s="579">
        <f t="shared" si="15"/>
        <v>30</v>
      </c>
      <c r="O94" s="490"/>
    </row>
    <row r="95" spans="1:15" ht="12.75" customHeight="1">
      <c r="A95" s="426"/>
      <c r="B95" s="426"/>
      <c r="C95" s="426"/>
      <c r="D95" s="426"/>
      <c r="E95" s="426"/>
      <c r="F95" s="442"/>
      <c r="G95" s="442"/>
      <c r="H95" s="442"/>
      <c r="I95" s="442"/>
      <c r="J95" s="442"/>
      <c r="K95" s="442"/>
      <c r="L95" s="490"/>
      <c r="M95" s="490"/>
      <c r="N95" s="490"/>
      <c r="O95" s="490"/>
    </row>
    <row r="96" spans="1:15" ht="12.75" customHeight="1">
      <c r="A96" s="426"/>
      <c r="B96" s="426"/>
      <c r="C96" s="426"/>
      <c r="D96" s="426"/>
      <c r="E96" s="426"/>
      <c r="F96" s="490"/>
      <c r="G96" s="442"/>
      <c r="H96" s="442"/>
      <c r="I96" s="442"/>
      <c r="J96" s="442"/>
      <c r="K96" s="442"/>
      <c r="L96" s="490"/>
      <c r="M96" s="490"/>
      <c r="N96" s="490"/>
      <c r="O96" s="490"/>
    </row>
    <row r="97" spans="1:15" ht="12.75" customHeight="1">
      <c r="A97" s="426"/>
      <c r="B97" s="426"/>
      <c r="C97" s="426"/>
      <c r="D97" s="426"/>
      <c r="E97" s="426"/>
      <c r="F97" s="490"/>
      <c r="G97" s="442"/>
      <c r="H97" s="442"/>
      <c r="I97" s="442"/>
      <c r="J97" s="442"/>
      <c r="K97" s="442"/>
      <c r="L97" s="490"/>
      <c r="M97" s="490"/>
      <c r="N97" s="490"/>
      <c r="O97" s="490"/>
    </row>
    <row r="98" spans="1:15" ht="12.75" customHeight="1">
      <c r="A98" s="426"/>
      <c r="B98" s="426"/>
      <c r="C98" s="426"/>
      <c r="D98" s="426"/>
      <c r="E98" s="426"/>
      <c r="F98" s="490"/>
      <c r="G98" s="490"/>
      <c r="H98" s="490"/>
      <c r="I98" s="490"/>
      <c r="J98" s="490"/>
      <c r="K98" s="490"/>
      <c r="L98" s="490"/>
      <c r="M98" s="490"/>
      <c r="N98" s="490"/>
      <c r="O98" s="490"/>
    </row>
    <row r="99" spans="1:15" ht="12.75" customHeight="1">
      <c r="A99" s="426"/>
      <c r="B99" s="426"/>
      <c r="C99" s="426"/>
      <c r="D99" s="426"/>
      <c r="E99" s="426"/>
      <c r="F99" s="490"/>
      <c r="G99" s="490"/>
      <c r="H99" s="490"/>
      <c r="I99" s="490"/>
      <c r="J99" s="490"/>
      <c r="K99" s="490"/>
      <c r="L99" s="490"/>
      <c r="M99" s="490"/>
      <c r="N99" s="490"/>
      <c r="O99" s="490"/>
    </row>
    <row r="100" spans="1:15" ht="12.75" customHeight="1">
      <c r="A100" s="426"/>
      <c r="B100" s="426"/>
      <c r="C100" s="426"/>
      <c r="D100" s="426"/>
      <c r="E100" s="426"/>
      <c r="F100" s="490"/>
      <c r="G100" s="490"/>
      <c r="H100" s="490"/>
      <c r="I100" s="490"/>
      <c r="J100" s="490"/>
      <c r="K100" s="490"/>
      <c r="L100" s="490"/>
      <c r="M100" s="490"/>
      <c r="N100" s="490"/>
      <c r="O100" s="490"/>
    </row>
    <row r="101" spans="1:15" ht="12.75" customHeight="1">
      <c r="A101" s="426"/>
      <c r="B101" s="426"/>
      <c r="C101" s="426"/>
      <c r="D101" s="426"/>
      <c r="E101" s="426"/>
      <c r="F101" s="490"/>
      <c r="G101" s="490"/>
      <c r="H101" s="490"/>
      <c r="I101" s="490"/>
      <c r="J101" s="490"/>
      <c r="K101" s="490"/>
      <c r="L101" s="490"/>
      <c r="M101" s="490"/>
      <c r="N101" s="490"/>
      <c r="O101" s="490"/>
    </row>
    <row r="102" spans="1:15" ht="12.75" customHeight="1">
      <c r="A102" s="426"/>
      <c r="B102" s="426"/>
      <c r="C102" s="426"/>
      <c r="D102" s="426"/>
      <c r="E102" s="426"/>
      <c r="F102" s="490"/>
      <c r="G102" s="490"/>
      <c r="H102" s="490"/>
      <c r="I102" s="490"/>
      <c r="J102" s="490"/>
      <c r="K102" s="490"/>
      <c r="L102" s="490"/>
      <c r="M102" s="490"/>
      <c r="N102" s="490"/>
      <c r="O102" s="490"/>
    </row>
    <row r="103" spans="1:15" ht="12.75" customHeight="1">
      <c r="A103" s="426"/>
      <c r="B103" s="426"/>
      <c r="C103" s="426"/>
      <c r="D103" s="426"/>
      <c r="E103" s="426"/>
      <c r="F103" s="490"/>
      <c r="G103" s="490"/>
      <c r="H103" s="490"/>
      <c r="I103" s="490"/>
      <c r="J103" s="490"/>
      <c r="K103" s="490"/>
      <c r="L103" s="490"/>
      <c r="M103" s="490"/>
      <c r="N103" s="490"/>
      <c r="O103" s="490"/>
    </row>
    <row r="104" spans="1:15" ht="12.75" customHeight="1">
      <c r="A104" s="426"/>
      <c r="B104" s="426"/>
      <c r="C104" s="426"/>
      <c r="D104" s="426"/>
      <c r="E104" s="426"/>
      <c r="F104" s="490"/>
      <c r="G104" s="490"/>
      <c r="H104" s="490"/>
      <c r="I104" s="490"/>
      <c r="J104" s="490"/>
      <c r="K104" s="490"/>
      <c r="L104" s="490"/>
      <c r="M104" s="490"/>
      <c r="N104" s="490"/>
      <c r="O104" s="490"/>
    </row>
    <row r="105" spans="1:15" ht="12.75" customHeight="1">
      <c r="A105" s="426"/>
      <c r="B105" s="426"/>
      <c r="C105" s="426"/>
      <c r="D105" s="426"/>
      <c r="E105" s="426"/>
      <c r="F105" s="490"/>
      <c r="G105" s="490"/>
      <c r="H105" s="490"/>
      <c r="I105" s="490"/>
      <c r="J105" s="490"/>
      <c r="K105" s="490"/>
      <c r="L105" s="490"/>
      <c r="M105" s="490"/>
      <c r="N105" s="490"/>
      <c r="O105" s="490"/>
    </row>
    <row r="106" spans="1:15" ht="12.75" customHeight="1">
      <c r="A106" s="426"/>
      <c r="B106" s="426"/>
      <c r="C106" s="426"/>
      <c r="D106" s="426"/>
      <c r="E106" s="426"/>
      <c r="F106" s="490"/>
      <c r="G106" s="490"/>
      <c r="H106" s="490"/>
      <c r="I106" s="490"/>
      <c r="J106" s="490"/>
      <c r="K106" s="490"/>
      <c r="L106" s="490"/>
      <c r="M106" s="490"/>
      <c r="N106" s="490"/>
      <c r="O106" s="490"/>
    </row>
    <row r="107" spans="1:15" ht="12.75" customHeight="1">
      <c r="A107" s="426"/>
      <c r="B107" s="426"/>
      <c r="C107" s="426"/>
      <c r="D107" s="426"/>
      <c r="E107" s="426"/>
      <c r="F107" s="490"/>
      <c r="G107" s="490"/>
      <c r="H107" s="490"/>
      <c r="I107" s="490"/>
      <c r="J107" s="490"/>
      <c r="K107" s="490"/>
      <c r="L107" s="490"/>
      <c r="M107" s="490"/>
      <c r="N107" s="490"/>
      <c r="O107" s="490"/>
    </row>
    <row r="108" spans="1:15" ht="12.75" customHeight="1">
      <c r="A108" s="426"/>
      <c r="B108" s="426"/>
      <c r="C108" s="426"/>
      <c r="D108" s="426"/>
      <c r="E108" s="426"/>
      <c r="F108" s="490"/>
      <c r="G108" s="490"/>
      <c r="H108" s="490"/>
      <c r="I108" s="490"/>
      <c r="J108" s="490"/>
      <c r="K108" s="490"/>
      <c r="L108" s="490"/>
      <c r="M108" s="490"/>
      <c r="N108" s="490"/>
      <c r="O108" s="490"/>
    </row>
    <row r="109" spans="1:15" ht="12.75" customHeight="1">
      <c r="A109" s="426"/>
      <c r="B109" s="426"/>
      <c r="C109" s="426"/>
      <c r="D109" s="426"/>
      <c r="E109" s="426"/>
      <c r="F109" s="490"/>
      <c r="G109" s="490"/>
      <c r="H109" s="490"/>
      <c r="I109" s="490"/>
      <c r="J109" s="490"/>
      <c r="K109" s="490"/>
      <c r="L109" s="490"/>
      <c r="M109" s="490"/>
      <c r="N109" s="490"/>
      <c r="O109" s="490"/>
    </row>
    <row r="110" spans="1:15" ht="12.75" customHeight="1">
      <c r="A110" s="426"/>
      <c r="B110" s="426"/>
      <c r="C110" s="426"/>
      <c r="D110" s="426"/>
      <c r="E110" s="426"/>
      <c r="F110" s="490"/>
      <c r="G110" s="490"/>
      <c r="H110" s="490"/>
      <c r="I110" s="490"/>
      <c r="J110" s="490"/>
      <c r="K110" s="490"/>
      <c r="L110" s="490"/>
      <c r="M110" s="490"/>
      <c r="N110" s="490"/>
      <c r="O110" s="490"/>
    </row>
    <row r="111" spans="1:15" ht="12.75" customHeight="1">
      <c r="A111" s="426"/>
      <c r="B111" s="426"/>
      <c r="C111" s="426"/>
      <c r="D111" s="426"/>
      <c r="E111" s="426"/>
      <c r="F111" s="490"/>
      <c r="G111" s="490"/>
      <c r="H111" s="490"/>
      <c r="I111" s="490"/>
      <c r="J111" s="490"/>
      <c r="K111" s="490"/>
      <c r="L111" s="490"/>
      <c r="M111" s="490"/>
      <c r="N111" s="490"/>
      <c r="O111" s="490"/>
    </row>
    <row r="112" spans="1:15" ht="12.75" customHeight="1">
      <c r="A112" s="426"/>
      <c r="B112" s="426"/>
      <c r="C112" s="426"/>
      <c r="D112" s="426"/>
      <c r="E112" s="426"/>
      <c r="F112" s="490"/>
      <c r="G112" s="490"/>
      <c r="H112" s="490"/>
      <c r="I112" s="490"/>
      <c r="J112" s="490"/>
      <c r="K112" s="490"/>
      <c r="L112" s="490"/>
      <c r="M112" s="490"/>
      <c r="N112" s="490"/>
      <c r="O112" s="490"/>
    </row>
    <row r="113" spans="1:15" ht="12.75" customHeight="1">
      <c r="A113" s="426"/>
      <c r="B113" s="426"/>
      <c r="C113" s="426"/>
      <c r="D113" s="426"/>
      <c r="E113" s="426"/>
      <c r="F113" s="490"/>
      <c r="G113" s="490"/>
      <c r="H113" s="490"/>
      <c r="I113" s="490"/>
      <c r="J113" s="490"/>
      <c r="K113" s="490"/>
      <c r="L113" s="490"/>
      <c r="M113" s="490"/>
      <c r="N113" s="490"/>
      <c r="O113" s="490"/>
    </row>
    <row r="114" spans="1:15" ht="12.75" customHeight="1">
      <c r="A114" s="426"/>
      <c r="B114" s="426"/>
      <c r="C114" s="426"/>
      <c r="D114" s="426"/>
      <c r="E114" s="426"/>
      <c r="F114" s="490"/>
      <c r="G114" s="490"/>
      <c r="H114" s="490"/>
      <c r="I114" s="490"/>
      <c r="J114" s="490"/>
      <c r="K114" s="490"/>
      <c r="L114" s="490"/>
      <c r="M114" s="490"/>
      <c r="N114" s="490"/>
      <c r="O114" s="490"/>
    </row>
    <row r="115" spans="1:15" ht="12.75" customHeight="1">
      <c r="A115" s="426"/>
      <c r="B115" s="426"/>
      <c r="C115" s="426"/>
      <c r="D115" s="426"/>
      <c r="E115" s="426"/>
      <c r="F115" s="490"/>
      <c r="G115" s="490"/>
      <c r="H115" s="490"/>
      <c r="I115" s="490"/>
      <c r="J115" s="490"/>
      <c r="K115" s="490"/>
      <c r="L115" s="490"/>
      <c r="M115" s="490"/>
      <c r="N115" s="490"/>
      <c r="O115" s="490"/>
    </row>
    <row r="116" spans="1:15" ht="12.75" customHeight="1">
      <c r="A116" s="426"/>
      <c r="B116" s="426"/>
      <c r="C116" s="426"/>
      <c r="D116" s="426"/>
      <c r="E116" s="426"/>
      <c r="F116" s="490"/>
      <c r="G116" s="490"/>
      <c r="H116" s="490"/>
      <c r="I116" s="490"/>
      <c r="J116" s="490"/>
      <c r="K116" s="490"/>
      <c r="L116" s="490"/>
      <c r="M116" s="490"/>
      <c r="N116" s="490"/>
      <c r="O116" s="490"/>
    </row>
    <row r="117" spans="1:15" ht="12.75" customHeight="1">
      <c r="A117" s="426"/>
      <c r="B117" s="426"/>
      <c r="C117" s="426"/>
      <c r="D117" s="426"/>
      <c r="E117" s="426"/>
      <c r="F117" s="490"/>
      <c r="G117" s="490"/>
      <c r="H117" s="490"/>
      <c r="I117" s="490"/>
      <c r="J117" s="490"/>
      <c r="K117" s="490"/>
      <c r="L117" s="490"/>
      <c r="M117" s="490"/>
      <c r="N117" s="490"/>
      <c r="O117" s="490"/>
    </row>
    <row r="118" spans="1:15" ht="12.75" customHeight="1">
      <c r="A118" s="426"/>
      <c r="B118" s="426"/>
      <c r="C118" s="426"/>
      <c r="D118" s="426"/>
      <c r="E118" s="426"/>
      <c r="F118" s="490"/>
      <c r="G118" s="490"/>
      <c r="H118" s="490"/>
      <c r="I118" s="490"/>
      <c r="J118" s="490"/>
      <c r="K118" s="490"/>
      <c r="L118" s="490"/>
      <c r="M118" s="490"/>
      <c r="N118" s="490"/>
      <c r="O118" s="490"/>
    </row>
    <row r="119" spans="1:15" ht="12.75" customHeight="1">
      <c r="A119" s="426"/>
      <c r="B119" s="426"/>
      <c r="C119" s="426"/>
      <c r="D119" s="426"/>
      <c r="E119" s="426"/>
      <c r="F119" s="490"/>
      <c r="G119" s="490"/>
      <c r="H119" s="490"/>
      <c r="I119" s="490"/>
      <c r="J119" s="490"/>
      <c r="K119" s="490"/>
      <c r="L119" s="490"/>
      <c r="M119" s="490"/>
      <c r="N119" s="490"/>
      <c r="O119" s="490"/>
    </row>
    <row r="120" spans="1:15" ht="12.75" customHeight="1">
      <c r="A120" s="426"/>
      <c r="B120" s="426"/>
      <c r="C120" s="426"/>
      <c r="D120" s="426"/>
      <c r="E120" s="426"/>
      <c r="F120" s="490"/>
      <c r="G120" s="490"/>
      <c r="H120" s="490"/>
      <c r="I120" s="490"/>
      <c r="J120" s="490"/>
      <c r="K120" s="490"/>
      <c r="L120" s="490"/>
      <c r="M120" s="490"/>
      <c r="N120" s="490"/>
      <c r="O120" s="490"/>
    </row>
    <row r="121" spans="1:15" ht="12.75" customHeight="1">
      <c r="A121" s="426"/>
      <c r="B121" s="426"/>
      <c r="C121" s="426"/>
      <c r="D121" s="426"/>
      <c r="E121" s="426"/>
      <c r="F121" s="490"/>
      <c r="G121" s="490"/>
      <c r="H121" s="490"/>
      <c r="I121" s="490"/>
      <c r="J121" s="490"/>
      <c r="K121" s="490"/>
      <c r="L121" s="490"/>
      <c r="M121" s="490"/>
      <c r="N121" s="490"/>
      <c r="O121" s="490"/>
    </row>
    <row r="122" spans="1:15" ht="12.75" customHeight="1">
      <c r="A122" s="426"/>
      <c r="B122" s="426"/>
      <c r="C122" s="426"/>
      <c r="D122" s="426"/>
      <c r="E122" s="426"/>
      <c r="F122" s="490"/>
      <c r="G122" s="490"/>
      <c r="H122" s="490"/>
      <c r="I122" s="490"/>
      <c r="J122" s="490"/>
      <c r="K122" s="490"/>
      <c r="L122" s="490"/>
      <c r="M122" s="490"/>
      <c r="N122" s="490"/>
      <c r="O122" s="490"/>
    </row>
    <row r="123" spans="1:15" ht="12.75" customHeight="1">
      <c r="A123" s="426"/>
      <c r="B123" s="426"/>
      <c r="C123" s="426"/>
      <c r="D123" s="426"/>
      <c r="E123" s="426"/>
      <c r="F123" s="490"/>
      <c r="G123" s="490"/>
      <c r="H123" s="490"/>
      <c r="I123" s="490"/>
      <c r="J123" s="490"/>
      <c r="K123" s="490"/>
      <c r="L123" s="490"/>
      <c r="M123" s="490"/>
      <c r="N123" s="490"/>
      <c r="O123" s="490"/>
    </row>
    <row r="124" spans="1:15" ht="12.75" customHeight="1">
      <c r="A124" s="426"/>
      <c r="B124" s="426"/>
      <c r="C124" s="426"/>
      <c r="D124" s="426"/>
      <c r="E124" s="426"/>
      <c r="F124" s="490"/>
      <c r="G124" s="490"/>
      <c r="H124" s="490"/>
      <c r="I124" s="490"/>
      <c r="J124" s="490"/>
      <c r="K124" s="490"/>
      <c r="L124" s="490"/>
      <c r="M124" s="490"/>
      <c r="N124" s="490"/>
      <c r="O124" s="490"/>
    </row>
    <row r="125" spans="1:15" ht="12.75" customHeight="1">
      <c r="A125" s="426"/>
      <c r="B125" s="426"/>
      <c r="C125" s="426"/>
      <c r="D125" s="426"/>
      <c r="E125" s="426"/>
      <c r="F125" s="490"/>
      <c r="G125" s="490"/>
      <c r="H125" s="490"/>
      <c r="I125" s="490"/>
      <c r="J125" s="490"/>
      <c r="K125" s="490"/>
      <c r="L125" s="490"/>
      <c r="M125" s="490"/>
      <c r="N125" s="490"/>
      <c r="O125" s="490"/>
    </row>
    <row r="126" spans="1:15" ht="12.75" customHeight="1">
      <c r="A126" s="426"/>
      <c r="B126" s="426"/>
      <c r="C126" s="426"/>
      <c r="D126" s="426"/>
      <c r="E126" s="426"/>
      <c r="F126" s="490"/>
      <c r="G126" s="490"/>
      <c r="H126" s="490"/>
      <c r="I126" s="490"/>
      <c r="J126" s="490"/>
      <c r="K126" s="490"/>
      <c r="L126" s="490"/>
      <c r="M126" s="490"/>
      <c r="N126" s="490"/>
      <c r="O126" s="490"/>
    </row>
    <row r="127" spans="1:15" ht="12.75" customHeight="1">
      <c r="A127" s="426"/>
      <c r="B127" s="426"/>
      <c r="C127" s="426"/>
      <c r="D127" s="426"/>
      <c r="E127" s="426"/>
      <c r="F127" s="490"/>
      <c r="G127" s="490"/>
      <c r="H127" s="490"/>
      <c r="I127" s="490"/>
      <c r="J127" s="490"/>
      <c r="K127" s="490"/>
      <c r="L127" s="490"/>
      <c r="M127" s="490"/>
      <c r="N127" s="490"/>
      <c r="O127" s="490"/>
    </row>
    <row r="128" spans="1:15" ht="12.75" customHeight="1">
      <c r="A128" s="426"/>
      <c r="B128" s="426"/>
      <c r="C128" s="426"/>
      <c r="D128" s="426"/>
      <c r="E128" s="426"/>
      <c r="F128" s="490"/>
      <c r="G128" s="490"/>
      <c r="H128" s="490"/>
      <c r="I128" s="490"/>
      <c r="J128" s="490"/>
      <c r="K128" s="490"/>
      <c r="L128" s="490"/>
      <c r="M128" s="490"/>
      <c r="N128" s="490"/>
      <c r="O128" s="490"/>
    </row>
    <row r="129" spans="1:15" ht="12.75" customHeight="1">
      <c r="A129" s="426"/>
      <c r="B129" s="426"/>
      <c r="C129" s="426"/>
      <c r="D129" s="426"/>
      <c r="E129" s="426"/>
      <c r="F129" s="490"/>
      <c r="G129" s="490"/>
      <c r="H129" s="490"/>
      <c r="I129" s="490"/>
      <c r="J129" s="490"/>
      <c r="K129" s="490"/>
      <c r="L129" s="490"/>
      <c r="M129" s="490"/>
      <c r="N129" s="490"/>
      <c r="O129" s="490"/>
    </row>
    <row r="130" spans="1:15" ht="12.75" customHeight="1">
      <c r="A130" s="426"/>
      <c r="B130" s="426"/>
      <c r="C130" s="426"/>
      <c r="D130" s="426"/>
      <c r="E130" s="426"/>
      <c r="F130" s="490"/>
      <c r="G130" s="490"/>
      <c r="H130" s="490"/>
      <c r="I130" s="490"/>
      <c r="J130" s="490"/>
      <c r="K130" s="490"/>
      <c r="L130" s="490"/>
      <c r="M130" s="490"/>
      <c r="N130" s="490"/>
      <c r="O130" s="490"/>
    </row>
    <row r="131" spans="1:15" ht="12.75" customHeight="1">
      <c r="A131" s="426"/>
      <c r="B131" s="426"/>
      <c r="C131" s="426"/>
      <c r="D131" s="426"/>
      <c r="E131" s="426"/>
      <c r="F131" s="490"/>
      <c r="G131" s="490"/>
      <c r="H131" s="490"/>
      <c r="I131" s="490"/>
      <c r="J131" s="490"/>
      <c r="K131" s="490"/>
      <c r="L131" s="490"/>
      <c r="M131" s="490"/>
      <c r="N131" s="490"/>
      <c r="O131" s="490"/>
    </row>
    <row r="132" spans="1:15" ht="12.75" customHeight="1">
      <c r="A132" s="426"/>
      <c r="B132" s="426"/>
      <c r="C132" s="426"/>
      <c r="D132" s="426"/>
      <c r="E132" s="426"/>
      <c r="F132" s="490"/>
      <c r="G132" s="490"/>
      <c r="H132" s="490"/>
      <c r="I132" s="490"/>
      <c r="J132" s="490"/>
      <c r="K132" s="490"/>
      <c r="L132" s="490"/>
      <c r="M132" s="490"/>
      <c r="N132" s="490"/>
      <c r="O132" s="490"/>
    </row>
    <row r="133" spans="1:15" ht="12.75" customHeight="1">
      <c r="A133" s="426"/>
      <c r="B133" s="426"/>
      <c r="C133" s="426"/>
      <c r="D133" s="426"/>
      <c r="E133" s="426"/>
      <c r="F133" s="490"/>
      <c r="G133" s="490"/>
      <c r="H133" s="490"/>
      <c r="I133" s="490"/>
      <c r="J133" s="490"/>
      <c r="K133" s="490"/>
      <c r="L133" s="490"/>
      <c r="M133" s="490"/>
      <c r="N133" s="490"/>
      <c r="O133" s="490"/>
    </row>
    <row r="134" spans="1:15" ht="12.75" customHeight="1">
      <c r="A134" s="426"/>
      <c r="B134" s="426"/>
      <c r="C134" s="426"/>
      <c r="D134" s="426"/>
      <c r="E134" s="426"/>
      <c r="F134" s="490"/>
      <c r="G134" s="490"/>
      <c r="H134" s="490"/>
      <c r="I134" s="490"/>
      <c r="J134" s="490"/>
      <c r="K134" s="490"/>
      <c r="L134" s="490"/>
      <c r="M134" s="490"/>
      <c r="N134" s="490"/>
      <c r="O134" s="490"/>
    </row>
    <row r="135" spans="1:15" ht="12.75" customHeight="1">
      <c r="A135" s="426"/>
      <c r="B135" s="426"/>
      <c r="C135" s="426"/>
      <c r="D135" s="426"/>
      <c r="E135" s="426"/>
      <c r="F135" s="490"/>
      <c r="G135" s="490"/>
      <c r="H135" s="490"/>
      <c r="I135" s="490"/>
      <c r="J135" s="490"/>
      <c r="K135" s="490"/>
      <c r="L135" s="490"/>
      <c r="M135" s="490"/>
      <c r="N135" s="490"/>
      <c r="O135" s="490"/>
    </row>
    <row r="136" spans="1:15" ht="12.75" customHeight="1">
      <c r="A136" s="426"/>
      <c r="B136" s="426"/>
      <c r="C136" s="426"/>
      <c r="D136" s="426"/>
      <c r="E136" s="426"/>
      <c r="F136" s="490"/>
      <c r="G136" s="490"/>
      <c r="H136" s="490"/>
      <c r="I136" s="490"/>
      <c r="J136" s="490"/>
      <c r="K136" s="490"/>
      <c r="L136" s="490"/>
      <c r="M136" s="490"/>
      <c r="N136" s="490"/>
      <c r="O136" s="490"/>
    </row>
    <row r="137" spans="1:15" ht="12.75" customHeight="1">
      <c r="A137" s="426"/>
      <c r="B137" s="426"/>
      <c r="C137" s="426"/>
      <c r="D137" s="426"/>
      <c r="E137" s="426"/>
      <c r="F137" s="490"/>
      <c r="G137" s="490"/>
      <c r="H137" s="490"/>
      <c r="I137" s="490"/>
      <c r="J137" s="490"/>
      <c r="K137" s="490"/>
      <c r="L137" s="490"/>
      <c r="M137" s="490"/>
      <c r="N137" s="490"/>
      <c r="O137" s="490"/>
    </row>
    <row r="138" spans="1:15" ht="12.75" customHeight="1">
      <c r="A138" s="426"/>
      <c r="B138" s="426"/>
      <c r="C138" s="426"/>
      <c r="D138" s="426"/>
      <c r="E138" s="426"/>
      <c r="F138" s="490"/>
      <c r="G138" s="490"/>
      <c r="H138" s="490"/>
      <c r="I138" s="490"/>
      <c r="J138" s="490"/>
      <c r="K138" s="490"/>
      <c r="L138" s="490"/>
      <c r="M138" s="490"/>
      <c r="N138" s="490"/>
      <c r="O138" s="490"/>
    </row>
    <row r="139" spans="1:15" ht="12.75" customHeight="1">
      <c r="A139" s="426"/>
      <c r="B139" s="426"/>
      <c r="C139" s="426"/>
      <c r="D139" s="426"/>
      <c r="E139" s="426"/>
      <c r="F139" s="490"/>
      <c r="G139" s="490"/>
      <c r="H139" s="490"/>
      <c r="I139" s="490"/>
      <c r="J139" s="490"/>
      <c r="K139" s="490"/>
      <c r="L139" s="490"/>
      <c r="M139" s="490"/>
      <c r="N139" s="490"/>
      <c r="O139" s="490"/>
    </row>
    <row r="140" spans="1:15" ht="12.75" customHeight="1">
      <c r="A140" s="426"/>
      <c r="B140" s="426"/>
      <c r="C140" s="426"/>
      <c r="D140" s="426"/>
      <c r="E140" s="426"/>
      <c r="F140" s="490"/>
      <c r="G140" s="490"/>
      <c r="H140" s="490"/>
      <c r="I140" s="490"/>
      <c r="J140" s="490"/>
      <c r="K140" s="490"/>
      <c r="L140" s="490"/>
      <c r="M140" s="490"/>
      <c r="N140" s="490"/>
      <c r="O140" s="490"/>
    </row>
    <row r="141" spans="1:15" ht="12.75" customHeight="1">
      <c r="A141" s="426"/>
      <c r="B141" s="426"/>
      <c r="C141" s="426"/>
      <c r="D141" s="426"/>
      <c r="E141" s="426"/>
      <c r="F141" s="490"/>
      <c r="G141" s="490"/>
      <c r="H141" s="490"/>
      <c r="I141" s="490"/>
      <c r="J141" s="490"/>
      <c r="K141" s="490"/>
      <c r="L141" s="490"/>
      <c r="M141" s="490"/>
      <c r="N141" s="490"/>
      <c r="O141" s="490"/>
    </row>
    <row r="142" spans="1:15" ht="12.75" customHeight="1">
      <c r="A142" s="426"/>
      <c r="B142" s="426"/>
      <c r="C142" s="426"/>
      <c r="D142" s="426"/>
      <c r="E142" s="426"/>
      <c r="F142" s="490"/>
      <c r="G142" s="490"/>
      <c r="H142" s="490"/>
      <c r="I142" s="490"/>
      <c r="J142" s="490"/>
      <c r="K142" s="490"/>
      <c r="L142" s="490"/>
      <c r="M142" s="490"/>
      <c r="N142" s="490"/>
      <c r="O142" s="490"/>
    </row>
    <row r="143" spans="1:15" ht="12.75" customHeight="1">
      <c r="A143" s="426"/>
      <c r="B143" s="426"/>
      <c r="C143" s="426"/>
      <c r="D143" s="426"/>
      <c r="E143" s="426"/>
      <c r="F143" s="490"/>
      <c r="G143" s="490"/>
      <c r="H143" s="490"/>
      <c r="I143" s="490"/>
      <c r="J143" s="490"/>
      <c r="K143" s="490"/>
      <c r="L143" s="490"/>
      <c r="M143" s="490"/>
      <c r="N143" s="490"/>
      <c r="O143" s="490"/>
    </row>
    <row r="144" spans="1:15" ht="12.75" customHeight="1">
      <c r="A144" s="426"/>
      <c r="B144" s="426"/>
      <c r="C144" s="426"/>
      <c r="D144" s="426"/>
      <c r="E144" s="426"/>
      <c r="F144" s="490"/>
      <c r="G144" s="490"/>
      <c r="H144" s="490"/>
      <c r="I144" s="490"/>
      <c r="J144" s="490"/>
      <c r="K144" s="490"/>
      <c r="L144" s="490"/>
      <c r="M144" s="490"/>
      <c r="N144" s="490"/>
      <c r="O144" s="490"/>
    </row>
    <row r="145" spans="1:15" ht="12.75" customHeight="1">
      <c r="A145" s="426"/>
      <c r="B145" s="426"/>
      <c r="C145" s="426"/>
      <c r="D145" s="426"/>
      <c r="E145" s="426"/>
      <c r="F145" s="490"/>
      <c r="G145" s="490"/>
      <c r="H145" s="490"/>
      <c r="I145" s="490"/>
      <c r="J145" s="490"/>
      <c r="K145" s="490"/>
      <c r="L145" s="490"/>
      <c r="M145" s="490"/>
      <c r="N145" s="490"/>
      <c r="O145" s="490"/>
    </row>
    <row r="146" spans="1:15" ht="12.75" customHeight="1">
      <c r="A146" s="426"/>
      <c r="B146" s="426"/>
      <c r="C146" s="426"/>
      <c r="D146" s="426"/>
      <c r="E146" s="426"/>
      <c r="F146" s="490"/>
      <c r="G146" s="490"/>
      <c r="H146" s="490"/>
      <c r="I146" s="490"/>
      <c r="J146" s="490"/>
      <c r="K146" s="490"/>
      <c r="L146" s="490"/>
      <c r="M146" s="490"/>
      <c r="N146" s="490"/>
      <c r="O146" s="490"/>
    </row>
    <row r="147" spans="1:15" ht="12.75" customHeight="1">
      <c r="A147" s="426"/>
      <c r="B147" s="426"/>
      <c r="C147" s="426"/>
      <c r="D147" s="426"/>
      <c r="E147" s="426"/>
      <c r="F147" s="490"/>
      <c r="G147" s="490"/>
      <c r="H147" s="490"/>
      <c r="I147" s="490"/>
      <c r="J147" s="490"/>
      <c r="K147" s="490"/>
      <c r="L147" s="490"/>
      <c r="M147" s="490"/>
      <c r="N147" s="490"/>
      <c r="O147" s="490"/>
    </row>
    <row r="148" spans="1:15" ht="12.75" customHeight="1">
      <c r="A148" s="426"/>
      <c r="B148" s="426"/>
      <c r="C148" s="426"/>
      <c r="D148" s="426"/>
      <c r="E148" s="426"/>
      <c r="F148" s="490"/>
      <c r="G148" s="490"/>
      <c r="H148" s="490"/>
      <c r="I148" s="490"/>
      <c r="J148" s="490"/>
      <c r="K148" s="490"/>
      <c r="L148" s="490"/>
      <c r="M148" s="490"/>
      <c r="N148" s="490"/>
      <c r="O148" s="490"/>
    </row>
    <row r="149" spans="1:15" ht="12.75" customHeight="1">
      <c r="A149" s="426"/>
      <c r="B149" s="426"/>
      <c r="C149" s="426"/>
      <c r="D149" s="426"/>
      <c r="E149" s="426"/>
      <c r="F149" s="490"/>
      <c r="G149" s="490"/>
      <c r="H149" s="490"/>
      <c r="I149" s="490"/>
      <c r="J149" s="490"/>
      <c r="K149" s="490"/>
      <c r="L149" s="490"/>
      <c r="M149" s="490"/>
      <c r="N149" s="490"/>
      <c r="O149" s="490"/>
    </row>
    <row r="150" spans="1:15" ht="12.75" customHeight="1">
      <c r="A150" s="426"/>
      <c r="B150" s="426"/>
      <c r="C150" s="426"/>
      <c r="D150" s="426"/>
      <c r="E150" s="426"/>
      <c r="F150" s="490"/>
      <c r="G150" s="490"/>
      <c r="H150" s="490"/>
      <c r="I150" s="490"/>
      <c r="J150" s="490"/>
      <c r="K150" s="490"/>
      <c r="L150" s="490"/>
      <c r="M150" s="490"/>
      <c r="N150" s="490"/>
      <c r="O150" s="490"/>
    </row>
    <row r="151" spans="1:15" ht="12.75" customHeight="1">
      <c r="A151" s="426"/>
      <c r="B151" s="426"/>
      <c r="C151" s="426"/>
      <c r="D151" s="426"/>
      <c r="E151" s="426"/>
      <c r="F151" s="490"/>
      <c r="G151" s="490"/>
      <c r="H151" s="490"/>
      <c r="I151" s="490"/>
      <c r="J151" s="490"/>
      <c r="K151" s="490"/>
      <c r="L151" s="490"/>
      <c r="M151" s="490"/>
      <c r="N151" s="490"/>
      <c r="O151" s="490"/>
    </row>
    <row r="152" spans="1:15" ht="12.75" customHeight="1">
      <c r="A152" s="426"/>
      <c r="B152" s="426"/>
      <c r="C152" s="426"/>
      <c r="D152" s="426"/>
      <c r="E152" s="426"/>
      <c r="F152" s="490"/>
      <c r="G152" s="490"/>
      <c r="H152" s="490"/>
      <c r="I152" s="490"/>
      <c r="J152" s="490"/>
      <c r="K152" s="490"/>
      <c r="L152" s="490"/>
      <c r="M152" s="490"/>
      <c r="N152" s="490"/>
      <c r="O152" s="490"/>
    </row>
    <row r="153" spans="1:15" ht="12.75" customHeight="1">
      <c r="A153" s="426"/>
      <c r="B153" s="426"/>
      <c r="C153" s="426"/>
      <c r="D153" s="426"/>
      <c r="E153" s="426"/>
      <c r="F153" s="490"/>
      <c r="G153" s="490"/>
      <c r="H153" s="490"/>
      <c r="I153" s="490"/>
      <c r="J153" s="490"/>
      <c r="K153" s="490"/>
      <c r="L153" s="490"/>
      <c r="M153" s="490"/>
      <c r="N153" s="490"/>
      <c r="O153" s="490"/>
    </row>
    <row r="154" spans="1:15" ht="12.75" customHeight="1">
      <c r="A154" s="426"/>
      <c r="B154" s="426"/>
      <c r="C154" s="426"/>
      <c r="D154" s="426"/>
      <c r="E154" s="426"/>
      <c r="F154" s="490"/>
      <c r="G154" s="490"/>
      <c r="H154" s="490"/>
      <c r="I154" s="490"/>
      <c r="J154" s="490"/>
      <c r="K154" s="490"/>
      <c r="L154" s="490"/>
      <c r="M154" s="490"/>
      <c r="N154" s="490"/>
      <c r="O154" s="490"/>
    </row>
    <row r="155" spans="1:15" ht="12.75" customHeight="1">
      <c r="A155" s="426"/>
      <c r="B155" s="426"/>
      <c r="C155" s="426"/>
      <c r="D155" s="426"/>
      <c r="E155" s="426"/>
      <c r="F155" s="490"/>
      <c r="G155" s="490"/>
      <c r="H155" s="490"/>
      <c r="I155" s="490"/>
      <c r="J155" s="490"/>
      <c r="K155" s="490"/>
      <c r="L155" s="490"/>
      <c r="M155" s="490"/>
      <c r="N155" s="490"/>
      <c r="O155" s="490"/>
    </row>
    <row r="156" spans="1:15" ht="12.75" customHeight="1">
      <c r="A156" s="426"/>
      <c r="B156" s="426"/>
      <c r="C156" s="426"/>
      <c r="D156" s="426"/>
      <c r="E156" s="426"/>
      <c r="F156" s="490"/>
      <c r="G156" s="490"/>
      <c r="H156" s="490"/>
      <c r="I156" s="490"/>
      <c r="J156" s="490"/>
      <c r="K156" s="490"/>
      <c r="L156" s="490"/>
      <c r="M156" s="490"/>
      <c r="N156" s="490"/>
      <c r="O156" s="490"/>
    </row>
    <row r="157" spans="1:15" ht="12.75" customHeight="1">
      <c r="A157" s="426"/>
      <c r="B157" s="426"/>
      <c r="C157" s="426"/>
      <c r="D157" s="426"/>
      <c r="E157" s="426"/>
      <c r="F157" s="490"/>
      <c r="G157" s="490"/>
      <c r="H157" s="490"/>
      <c r="I157" s="490"/>
      <c r="J157" s="490"/>
      <c r="K157" s="490"/>
      <c r="L157" s="490"/>
      <c r="M157" s="490"/>
      <c r="N157" s="490"/>
      <c r="O157" s="490"/>
    </row>
    <row r="158" spans="1:15" ht="12.75" customHeight="1">
      <c r="A158" s="426"/>
      <c r="B158" s="426"/>
      <c r="C158" s="426"/>
      <c r="D158" s="426"/>
      <c r="E158" s="426"/>
      <c r="F158" s="490"/>
      <c r="G158" s="490"/>
      <c r="H158" s="490"/>
      <c r="I158" s="490"/>
      <c r="J158" s="490"/>
      <c r="K158" s="490"/>
      <c r="L158" s="490"/>
      <c r="M158" s="490"/>
      <c r="N158" s="490"/>
      <c r="O158" s="490"/>
    </row>
    <row r="159" spans="1:15" ht="12.75" customHeight="1">
      <c r="A159" s="426"/>
      <c r="B159" s="426"/>
      <c r="C159" s="426"/>
      <c r="D159" s="426"/>
      <c r="E159" s="426"/>
      <c r="F159" s="490"/>
      <c r="G159" s="490"/>
      <c r="H159" s="490"/>
      <c r="I159" s="490"/>
      <c r="J159" s="490"/>
      <c r="K159" s="490"/>
      <c r="L159" s="490"/>
      <c r="M159" s="490"/>
      <c r="N159" s="490"/>
      <c r="O159" s="490"/>
    </row>
    <row r="160" spans="1:15" ht="12.75" customHeight="1">
      <c r="A160" s="426"/>
      <c r="B160" s="426"/>
      <c r="C160" s="426"/>
      <c r="D160" s="426"/>
      <c r="E160" s="426"/>
      <c r="F160" s="490"/>
      <c r="G160" s="490"/>
      <c r="H160" s="490"/>
      <c r="I160" s="490"/>
      <c r="J160" s="490"/>
      <c r="K160" s="490"/>
      <c r="L160" s="490"/>
      <c r="M160" s="490"/>
      <c r="N160" s="490"/>
      <c r="O160" s="490"/>
    </row>
    <row r="161" spans="1:15" ht="12.75" customHeight="1">
      <c r="A161" s="426"/>
      <c r="B161" s="426"/>
      <c r="C161" s="426"/>
      <c r="D161" s="426"/>
      <c r="E161" s="426"/>
      <c r="F161" s="490"/>
      <c r="G161" s="490"/>
      <c r="H161" s="490"/>
      <c r="I161" s="490"/>
      <c r="J161" s="490"/>
      <c r="K161" s="490"/>
      <c r="L161" s="490"/>
      <c r="M161" s="490"/>
      <c r="N161" s="490"/>
      <c r="O161" s="490"/>
    </row>
    <row r="162" spans="1:15" ht="12.75" customHeight="1">
      <c r="A162" s="426"/>
      <c r="B162" s="426"/>
      <c r="C162" s="426"/>
      <c r="D162" s="426"/>
      <c r="E162" s="426"/>
      <c r="F162" s="490"/>
      <c r="G162" s="490"/>
      <c r="H162" s="490"/>
      <c r="I162" s="490"/>
      <c r="J162" s="490"/>
      <c r="K162" s="490"/>
      <c r="L162" s="490"/>
      <c r="M162" s="490"/>
      <c r="N162" s="490"/>
      <c r="O162" s="490"/>
    </row>
    <row r="163" spans="1:15" ht="12.75" customHeight="1">
      <c r="A163" s="426"/>
      <c r="B163" s="426"/>
      <c r="C163" s="426"/>
      <c r="D163" s="426"/>
      <c r="E163" s="426"/>
      <c r="F163" s="490"/>
      <c r="G163" s="490"/>
      <c r="H163" s="490"/>
      <c r="I163" s="490"/>
      <c r="J163" s="490"/>
      <c r="K163" s="490"/>
      <c r="L163" s="490"/>
      <c r="M163" s="490"/>
      <c r="N163" s="490"/>
      <c r="O163" s="490"/>
    </row>
    <row r="164" spans="1:15" ht="12.75" customHeight="1">
      <c r="A164" s="426"/>
      <c r="B164" s="426"/>
      <c r="C164" s="426"/>
      <c r="D164" s="426"/>
      <c r="E164" s="426"/>
      <c r="F164" s="490"/>
      <c r="G164" s="490"/>
      <c r="H164" s="490"/>
      <c r="I164" s="490"/>
      <c r="J164" s="490"/>
      <c r="K164" s="490"/>
      <c r="L164" s="490"/>
      <c r="M164" s="490"/>
      <c r="N164" s="490"/>
      <c r="O164" s="490"/>
    </row>
    <row r="165" spans="1:15" ht="12.75" customHeight="1">
      <c r="A165" s="426"/>
      <c r="B165" s="426"/>
      <c r="C165" s="426"/>
      <c r="D165" s="426"/>
      <c r="E165" s="426"/>
      <c r="F165" s="490"/>
      <c r="G165" s="490"/>
      <c r="H165" s="490"/>
      <c r="I165" s="490"/>
      <c r="J165" s="490"/>
      <c r="K165" s="490"/>
      <c r="L165" s="490"/>
      <c r="M165" s="490"/>
      <c r="N165" s="490"/>
      <c r="O165" s="490"/>
    </row>
    <row r="166" spans="1:15" ht="12.75" customHeight="1">
      <c r="A166" s="426"/>
      <c r="B166" s="426"/>
      <c r="C166" s="426"/>
      <c r="D166" s="426"/>
      <c r="E166" s="426"/>
      <c r="F166" s="490"/>
      <c r="G166" s="490"/>
      <c r="H166" s="490"/>
      <c r="I166" s="490"/>
      <c r="J166" s="490"/>
      <c r="K166" s="490"/>
      <c r="L166" s="490"/>
      <c r="M166" s="490"/>
      <c r="N166" s="490"/>
      <c r="O166" s="490"/>
    </row>
    <row r="167" spans="1:15" ht="12.75" customHeight="1">
      <c r="A167" s="426"/>
      <c r="B167" s="426"/>
      <c r="C167" s="426"/>
      <c r="D167" s="426"/>
      <c r="E167" s="426"/>
      <c r="F167" s="490"/>
      <c r="G167" s="490"/>
      <c r="H167" s="490"/>
      <c r="I167" s="490"/>
      <c r="J167" s="490"/>
      <c r="K167" s="490"/>
      <c r="L167" s="490"/>
      <c r="M167" s="490"/>
      <c r="N167" s="490"/>
      <c r="O167" s="490"/>
    </row>
    <row r="168" spans="1:15" ht="12.75" customHeight="1">
      <c r="A168" s="426"/>
      <c r="B168" s="426"/>
      <c r="C168" s="426"/>
      <c r="D168" s="426"/>
      <c r="E168" s="426"/>
      <c r="F168" s="490"/>
      <c r="G168" s="490"/>
      <c r="H168" s="490"/>
      <c r="I168" s="490"/>
      <c r="J168" s="490"/>
      <c r="K168" s="490"/>
      <c r="L168" s="490"/>
      <c r="M168" s="490"/>
      <c r="N168" s="490"/>
      <c r="O168" s="490"/>
    </row>
    <row r="169" spans="1:15" ht="12.75" customHeight="1">
      <c r="A169" s="426"/>
      <c r="B169" s="426"/>
      <c r="C169" s="426"/>
      <c r="D169" s="426"/>
      <c r="E169" s="426"/>
      <c r="F169" s="490"/>
      <c r="G169" s="490"/>
      <c r="H169" s="490"/>
      <c r="I169" s="490"/>
      <c r="J169" s="490"/>
      <c r="K169" s="490"/>
      <c r="L169" s="490"/>
      <c r="M169" s="490"/>
      <c r="N169" s="490"/>
      <c r="O169" s="490"/>
    </row>
    <row r="170" spans="1:15" ht="12.75" customHeight="1">
      <c r="A170" s="426"/>
      <c r="B170" s="426"/>
      <c r="C170" s="426"/>
      <c r="D170" s="426"/>
      <c r="E170" s="426"/>
      <c r="F170" s="490"/>
      <c r="G170" s="490"/>
      <c r="H170" s="490"/>
      <c r="I170" s="490"/>
      <c r="J170" s="490"/>
      <c r="K170" s="490"/>
      <c r="L170" s="490"/>
      <c r="M170" s="490"/>
      <c r="N170" s="490"/>
      <c r="O170" s="490"/>
    </row>
    <row r="171" spans="1:15" ht="12.75" customHeight="1">
      <c r="A171" s="426"/>
      <c r="B171" s="426"/>
      <c r="C171" s="426"/>
      <c r="D171" s="426"/>
      <c r="E171" s="426"/>
      <c r="F171" s="490"/>
      <c r="G171" s="490"/>
      <c r="H171" s="490"/>
      <c r="I171" s="490"/>
      <c r="J171" s="490"/>
      <c r="K171" s="490"/>
      <c r="L171" s="490"/>
      <c r="M171" s="490"/>
      <c r="N171" s="490"/>
      <c r="O171" s="490"/>
    </row>
    <row r="172" spans="1:15" ht="12.75" customHeight="1">
      <c r="A172" s="426"/>
      <c r="B172" s="426"/>
      <c r="C172" s="426"/>
      <c r="D172" s="426"/>
      <c r="E172" s="426"/>
      <c r="F172" s="490"/>
      <c r="G172" s="490"/>
      <c r="H172" s="490"/>
      <c r="I172" s="490"/>
      <c r="J172" s="490"/>
      <c r="K172" s="490"/>
      <c r="L172" s="490"/>
      <c r="M172" s="490"/>
      <c r="N172" s="490"/>
      <c r="O172" s="490"/>
    </row>
    <row r="173" spans="1:15" ht="12.75" customHeight="1">
      <c r="A173" s="426"/>
      <c r="B173" s="426"/>
      <c r="C173" s="426"/>
      <c r="D173" s="426"/>
      <c r="E173" s="426"/>
      <c r="F173" s="490"/>
      <c r="G173" s="490"/>
      <c r="H173" s="490"/>
      <c r="I173" s="490"/>
      <c r="J173" s="490"/>
      <c r="K173" s="490"/>
      <c r="L173" s="490"/>
      <c r="M173" s="490"/>
      <c r="N173" s="490"/>
      <c r="O173" s="490"/>
    </row>
    <row r="174" spans="1:15" ht="12.75" customHeight="1">
      <c r="A174" s="426"/>
      <c r="B174" s="426"/>
      <c r="C174" s="426"/>
      <c r="D174" s="426"/>
      <c r="E174" s="426"/>
      <c r="F174" s="490"/>
      <c r="G174" s="490"/>
      <c r="H174" s="490"/>
      <c r="I174" s="490"/>
      <c r="J174" s="490"/>
      <c r="K174" s="490"/>
      <c r="L174" s="490"/>
      <c r="M174" s="490"/>
      <c r="N174" s="490"/>
      <c r="O174" s="490"/>
    </row>
    <row r="175" spans="1:15" ht="12.75" customHeight="1">
      <c r="A175" s="426"/>
      <c r="B175" s="426"/>
      <c r="C175" s="426"/>
      <c r="D175" s="426"/>
      <c r="E175" s="426"/>
      <c r="F175" s="490"/>
      <c r="G175" s="490"/>
      <c r="H175" s="490"/>
      <c r="I175" s="490"/>
      <c r="J175" s="490"/>
      <c r="K175" s="490"/>
      <c r="L175" s="490"/>
      <c r="M175" s="490"/>
      <c r="N175" s="490"/>
      <c r="O175" s="490"/>
    </row>
    <row r="176" spans="1:15" ht="12.75" customHeight="1">
      <c r="A176" s="426"/>
      <c r="B176" s="426"/>
      <c r="C176" s="426"/>
      <c r="D176" s="426"/>
      <c r="E176" s="426"/>
      <c r="F176" s="490"/>
      <c r="G176" s="490"/>
      <c r="H176" s="490"/>
      <c r="I176" s="490"/>
      <c r="J176" s="490"/>
      <c r="K176" s="490"/>
      <c r="L176" s="490"/>
      <c r="M176" s="490"/>
      <c r="N176" s="490"/>
      <c r="O176" s="490"/>
    </row>
    <row r="177" spans="1:15" ht="12.75" customHeight="1">
      <c r="A177" s="426"/>
      <c r="B177" s="426"/>
      <c r="C177" s="426"/>
      <c r="D177" s="426"/>
      <c r="E177" s="426"/>
      <c r="F177" s="490"/>
      <c r="G177" s="490"/>
      <c r="H177" s="490"/>
      <c r="I177" s="490"/>
      <c r="J177" s="490"/>
      <c r="K177" s="490"/>
      <c r="L177" s="490"/>
      <c r="M177" s="490"/>
      <c r="N177" s="490"/>
      <c r="O177" s="490"/>
    </row>
    <row r="178" spans="1:15" ht="12.75" customHeight="1">
      <c r="A178" s="426"/>
      <c r="B178" s="426"/>
      <c r="C178" s="426"/>
      <c r="D178" s="426"/>
      <c r="E178" s="426"/>
      <c r="F178" s="490"/>
      <c r="G178" s="490"/>
      <c r="H178" s="490"/>
      <c r="I178" s="490"/>
      <c r="J178" s="490"/>
      <c r="K178" s="490"/>
      <c r="L178" s="490"/>
      <c r="M178" s="490"/>
      <c r="N178" s="490"/>
      <c r="O178" s="490"/>
    </row>
    <row r="179" spans="1:15" ht="12.75" customHeight="1">
      <c r="A179" s="426"/>
      <c r="B179" s="426"/>
      <c r="C179" s="426"/>
      <c r="D179" s="426"/>
      <c r="E179" s="426"/>
      <c r="F179" s="490"/>
      <c r="G179" s="490"/>
      <c r="H179" s="490"/>
      <c r="I179" s="490"/>
      <c r="J179" s="490"/>
      <c r="K179" s="490"/>
      <c r="L179" s="490"/>
      <c r="M179" s="490"/>
      <c r="N179" s="490"/>
      <c r="O179" s="490"/>
    </row>
    <row r="180" spans="1:15" ht="12.75" customHeight="1">
      <c r="A180" s="426"/>
      <c r="B180" s="426"/>
      <c r="C180" s="426"/>
      <c r="D180" s="426"/>
      <c r="E180" s="426"/>
      <c r="F180" s="490"/>
      <c r="G180" s="490"/>
      <c r="H180" s="490"/>
      <c r="I180" s="490"/>
      <c r="J180" s="490"/>
      <c r="K180" s="490"/>
      <c r="L180" s="490"/>
      <c r="M180" s="490"/>
      <c r="N180" s="490"/>
      <c r="O180" s="490"/>
    </row>
    <row r="181" spans="1:15" ht="12.75" customHeight="1">
      <c r="A181" s="426"/>
      <c r="B181" s="426"/>
      <c r="C181" s="426"/>
      <c r="D181" s="426"/>
      <c r="E181" s="426"/>
      <c r="F181" s="490"/>
      <c r="G181" s="490"/>
      <c r="H181" s="490"/>
      <c r="I181" s="490"/>
      <c r="J181" s="490"/>
      <c r="K181" s="490"/>
      <c r="L181" s="490"/>
      <c r="M181" s="490"/>
      <c r="N181" s="490"/>
      <c r="O181" s="490"/>
    </row>
    <row r="182" spans="1:15" ht="12.75" customHeight="1">
      <c r="A182" s="426"/>
      <c r="B182" s="426"/>
      <c r="C182" s="426"/>
      <c r="D182" s="426"/>
      <c r="E182" s="426"/>
      <c r="F182" s="490"/>
      <c r="G182" s="490"/>
      <c r="H182" s="490"/>
      <c r="I182" s="490"/>
      <c r="J182" s="490"/>
      <c r="K182" s="490"/>
      <c r="L182" s="490"/>
      <c r="M182" s="490"/>
      <c r="N182" s="490"/>
      <c r="O182" s="490"/>
    </row>
    <row r="183" spans="1:15" ht="12.75" customHeight="1">
      <c r="A183" s="426"/>
      <c r="B183" s="426"/>
      <c r="C183" s="426"/>
      <c r="D183" s="426"/>
      <c r="E183" s="426"/>
      <c r="F183" s="490"/>
      <c r="G183" s="490"/>
      <c r="H183" s="490"/>
      <c r="I183" s="490"/>
      <c r="J183" s="490"/>
      <c r="K183" s="490"/>
      <c r="L183" s="490"/>
      <c r="M183" s="490"/>
      <c r="N183" s="490"/>
      <c r="O183" s="490"/>
    </row>
    <row r="184" spans="1:15" ht="12.75" customHeight="1">
      <c r="A184" s="426"/>
      <c r="B184" s="426"/>
      <c r="C184" s="426"/>
      <c r="D184" s="426"/>
      <c r="E184" s="426"/>
      <c r="F184" s="490"/>
      <c r="G184" s="490"/>
      <c r="H184" s="490"/>
      <c r="I184" s="490"/>
      <c r="J184" s="490"/>
      <c r="K184" s="490"/>
      <c r="L184" s="490"/>
      <c r="M184" s="490"/>
      <c r="N184" s="490"/>
      <c r="O184" s="490"/>
    </row>
    <row r="185" spans="1:15" ht="12.75" customHeight="1">
      <c r="A185" s="426"/>
      <c r="B185" s="426"/>
      <c r="C185" s="426"/>
      <c r="D185" s="426"/>
      <c r="E185" s="426"/>
      <c r="F185" s="490"/>
      <c r="G185" s="490"/>
      <c r="H185" s="490"/>
      <c r="I185" s="490"/>
      <c r="J185" s="490"/>
      <c r="K185" s="490"/>
      <c r="L185" s="490"/>
      <c r="M185" s="490"/>
      <c r="N185" s="490"/>
      <c r="O185" s="490"/>
    </row>
    <row r="186" spans="1:15" ht="12.75" customHeight="1">
      <c r="A186" s="426"/>
      <c r="B186" s="426"/>
      <c r="C186" s="426"/>
      <c r="D186" s="426"/>
      <c r="E186" s="426"/>
      <c r="F186" s="490"/>
      <c r="G186" s="490"/>
      <c r="H186" s="490"/>
      <c r="I186" s="490"/>
      <c r="J186" s="490"/>
      <c r="K186" s="490"/>
      <c r="L186" s="490"/>
      <c r="M186" s="490"/>
      <c r="N186" s="490"/>
      <c r="O186" s="490"/>
    </row>
    <row r="187" spans="1:15" ht="12.75" customHeight="1">
      <c r="A187" s="426"/>
      <c r="B187" s="426"/>
      <c r="C187" s="426"/>
      <c r="D187" s="426"/>
      <c r="E187" s="426"/>
      <c r="F187" s="490"/>
      <c r="G187" s="490"/>
      <c r="H187" s="490"/>
      <c r="I187" s="490"/>
      <c r="J187" s="490"/>
      <c r="K187" s="490"/>
      <c r="L187" s="490"/>
      <c r="M187" s="490"/>
      <c r="N187" s="490"/>
      <c r="O187" s="490"/>
    </row>
    <row r="188" spans="1:15" ht="12.75" customHeight="1">
      <c r="A188" s="426"/>
      <c r="B188" s="426"/>
      <c r="C188" s="426"/>
      <c r="D188" s="426"/>
      <c r="E188" s="426"/>
      <c r="F188" s="490"/>
      <c r="G188" s="490"/>
      <c r="H188" s="490"/>
      <c r="I188" s="490"/>
      <c r="J188" s="490"/>
      <c r="K188" s="490"/>
      <c r="L188" s="490"/>
      <c r="M188" s="490"/>
      <c r="N188" s="490"/>
      <c r="O188" s="490"/>
    </row>
    <row r="189" spans="1:15" ht="12.75" customHeight="1">
      <c r="A189" s="426"/>
      <c r="B189" s="426"/>
      <c r="C189" s="426"/>
      <c r="D189" s="426"/>
      <c r="E189" s="426"/>
      <c r="F189" s="490"/>
      <c r="G189" s="490"/>
      <c r="H189" s="490"/>
      <c r="I189" s="490"/>
      <c r="J189" s="490"/>
      <c r="K189" s="490"/>
      <c r="L189" s="490"/>
      <c r="M189" s="490"/>
      <c r="N189" s="490"/>
      <c r="O189" s="490"/>
    </row>
    <row r="190" spans="1:15" ht="12.75" customHeight="1">
      <c r="A190" s="426"/>
      <c r="B190" s="426"/>
      <c r="C190" s="426"/>
      <c r="D190" s="426"/>
      <c r="E190" s="426"/>
      <c r="F190" s="490"/>
      <c r="G190" s="490"/>
      <c r="H190" s="490"/>
      <c r="I190" s="490"/>
      <c r="J190" s="490"/>
      <c r="K190" s="490"/>
      <c r="L190" s="490"/>
      <c r="M190" s="490"/>
      <c r="N190" s="490"/>
      <c r="O190" s="490"/>
    </row>
    <row r="191" spans="1:15" ht="12.75" customHeight="1">
      <c r="A191" s="426"/>
      <c r="B191" s="426"/>
      <c r="C191" s="426"/>
      <c r="D191" s="426"/>
      <c r="E191" s="426"/>
      <c r="F191" s="490"/>
      <c r="G191" s="490"/>
      <c r="H191" s="490"/>
      <c r="I191" s="490"/>
      <c r="J191" s="490"/>
      <c r="K191" s="490"/>
      <c r="L191" s="490"/>
      <c r="M191" s="490"/>
      <c r="N191" s="490"/>
      <c r="O191" s="490"/>
    </row>
    <row r="192" spans="1:15" ht="12.75" customHeight="1">
      <c r="A192" s="426"/>
      <c r="B192" s="426"/>
      <c r="C192" s="426"/>
      <c r="D192" s="426"/>
      <c r="E192" s="426"/>
      <c r="F192" s="490"/>
      <c r="G192" s="490"/>
      <c r="H192" s="490"/>
      <c r="I192" s="490"/>
      <c r="J192" s="490"/>
      <c r="K192" s="490"/>
      <c r="L192" s="490"/>
      <c r="M192" s="490"/>
      <c r="N192" s="490"/>
      <c r="O192" s="490"/>
    </row>
    <row r="193" spans="1:15" ht="12.75" customHeight="1">
      <c r="A193" s="426"/>
      <c r="B193" s="426"/>
      <c r="C193" s="426"/>
      <c r="D193" s="426"/>
      <c r="E193" s="426"/>
      <c r="F193" s="490"/>
      <c r="G193" s="490"/>
      <c r="H193" s="490"/>
      <c r="I193" s="490"/>
      <c r="J193" s="490"/>
      <c r="K193" s="490"/>
      <c r="L193" s="490"/>
      <c r="M193" s="490"/>
      <c r="N193" s="490"/>
      <c r="O193" s="490"/>
    </row>
    <row r="194" spans="1:15" ht="12.75" customHeight="1">
      <c r="A194" s="426"/>
      <c r="B194" s="426"/>
      <c r="C194" s="426"/>
      <c r="D194" s="426"/>
      <c r="E194" s="426"/>
      <c r="F194" s="490"/>
      <c r="G194" s="490"/>
      <c r="H194" s="490"/>
      <c r="I194" s="490"/>
      <c r="J194" s="490"/>
      <c r="K194" s="490"/>
      <c r="L194" s="490"/>
      <c r="M194" s="490"/>
      <c r="N194" s="490"/>
      <c r="O194" s="490"/>
    </row>
    <row r="195" spans="1:15" ht="12.75" customHeight="1">
      <c r="A195" s="426"/>
      <c r="B195" s="426"/>
      <c r="C195" s="426"/>
      <c r="D195" s="426"/>
      <c r="E195" s="426"/>
      <c r="F195" s="490"/>
      <c r="G195" s="490"/>
      <c r="H195" s="490"/>
      <c r="I195" s="490"/>
      <c r="J195" s="490"/>
      <c r="K195" s="490"/>
      <c r="L195" s="490"/>
      <c r="M195" s="490"/>
      <c r="N195" s="490"/>
      <c r="O195" s="490"/>
    </row>
    <row r="196" spans="1:15" ht="12.75" customHeight="1">
      <c r="A196" s="426"/>
      <c r="B196" s="426"/>
      <c r="C196" s="426"/>
      <c r="D196" s="426"/>
      <c r="E196" s="426"/>
      <c r="F196" s="490"/>
      <c r="G196" s="490"/>
      <c r="H196" s="490"/>
      <c r="I196" s="490"/>
      <c r="J196" s="490"/>
      <c r="K196" s="490"/>
      <c r="L196" s="490"/>
      <c r="M196" s="490"/>
      <c r="N196" s="490"/>
      <c r="O196" s="490"/>
    </row>
    <row r="197" spans="1:15" ht="12.75" customHeight="1">
      <c r="A197" s="426"/>
      <c r="B197" s="426"/>
      <c r="C197" s="426"/>
      <c r="D197" s="426"/>
      <c r="E197" s="426"/>
      <c r="F197" s="490"/>
      <c r="G197" s="490"/>
      <c r="H197" s="490"/>
      <c r="I197" s="490"/>
      <c r="J197" s="490"/>
      <c r="K197" s="490"/>
      <c r="L197" s="490"/>
      <c r="M197" s="490"/>
      <c r="N197" s="490"/>
      <c r="O197" s="490"/>
    </row>
    <row r="198" spans="1:15" ht="12.75" customHeight="1">
      <c r="A198" s="426"/>
      <c r="B198" s="426"/>
      <c r="C198" s="426"/>
      <c r="D198" s="426"/>
      <c r="E198" s="426"/>
      <c r="F198" s="490"/>
      <c r="G198" s="490"/>
      <c r="H198" s="490"/>
      <c r="I198" s="490"/>
      <c r="J198" s="490"/>
      <c r="K198" s="490"/>
      <c r="L198" s="490"/>
      <c r="M198" s="490"/>
      <c r="N198" s="490"/>
      <c r="O198" s="490"/>
    </row>
    <row r="199" spans="1:15" ht="12.75" customHeight="1">
      <c r="A199" s="426"/>
      <c r="B199" s="426"/>
      <c r="C199" s="426"/>
      <c r="D199" s="426"/>
      <c r="E199" s="426"/>
      <c r="F199" s="490"/>
      <c r="G199" s="490"/>
      <c r="H199" s="490"/>
      <c r="I199" s="490"/>
      <c r="J199" s="490"/>
      <c r="K199" s="490"/>
      <c r="L199" s="490"/>
      <c r="M199" s="490"/>
      <c r="N199" s="490"/>
      <c r="O199" s="490"/>
    </row>
    <row r="200" spans="1:15" ht="12.75" customHeight="1">
      <c r="A200" s="426"/>
      <c r="B200" s="426"/>
      <c r="C200" s="426"/>
      <c r="D200" s="426"/>
      <c r="E200" s="426"/>
      <c r="F200" s="490"/>
      <c r="G200" s="490"/>
      <c r="H200" s="490"/>
      <c r="I200" s="490"/>
      <c r="J200" s="490"/>
      <c r="K200" s="490"/>
      <c r="L200" s="490"/>
      <c r="M200" s="490"/>
      <c r="N200" s="490"/>
      <c r="O200" s="490"/>
    </row>
    <row r="201" spans="1:15" ht="12.75" customHeight="1">
      <c r="A201" s="426"/>
      <c r="B201" s="426"/>
      <c r="C201" s="426"/>
      <c r="D201" s="426"/>
      <c r="E201" s="426"/>
      <c r="F201" s="490"/>
      <c r="G201" s="490"/>
      <c r="H201" s="490"/>
      <c r="I201" s="490"/>
      <c r="J201" s="490"/>
      <c r="K201" s="490"/>
      <c r="L201" s="490"/>
      <c r="M201" s="490"/>
      <c r="N201" s="490"/>
      <c r="O201" s="490"/>
    </row>
    <row r="202" spans="1:15" ht="12.75" customHeight="1">
      <c r="A202" s="426"/>
      <c r="B202" s="426"/>
      <c r="C202" s="426"/>
      <c r="D202" s="426"/>
      <c r="E202" s="426"/>
      <c r="F202" s="490"/>
      <c r="G202" s="490"/>
      <c r="H202" s="490"/>
      <c r="I202" s="490"/>
      <c r="J202" s="490"/>
      <c r="K202" s="490"/>
      <c r="L202" s="490"/>
      <c r="M202" s="490"/>
      <c r="N202" s="490"/>
      <c r="O202" s="490"/>
    </row>
    <row r="203" spans="1:15" ht="12.75" customHeight="1">
      <c r="A203" s="426"/>
      <c r="B203" s="426"/>
      <c r="C203" s="426"/>
      <c r="D203" s="426"/>
      <c r="E203" s="426"/>
      <c r="F203" s="490"/>
      <c r="G203" s="490"/>
      <c r="H203" s="490"/>
      <c r="I203" s="490"/>
      <c r="J203" s="490"/>
      <c r="K203" s="490"/>
      <c r="L203" s="490"/>
      <c r="M203" s="490"/>
      <c r="N203" s="490"/>
      <c r="O203" s="490"/>
    </row>
    <row r="204" spans="1:15" ht="12.75" customHeight="1">
      <c r="A204" s="426"/>
      <c r="B204" s="426"/>
      <c r="C204" s="426"/>
      <c r="D204" s="426"/>
      <c r="E204" s="426"/>
      <c r="F204" s="490"/>
      <c r="G204" s="490"/>
      <c r="H204" s="490"/>
      <c r="I204" s="490"/>
      <c r="J204" s="490"/>
      <c r="K204" s="490"/>
      <c r="L204" s="490"/>
      <c r="M204" s="490"/>
      <c r="N204" s="490"/>
      <c r="O204" s="490"/>
    </row>
    <row r="205" spans="1:15" ht="12.75" customHeight="1">
      <c r="A205" s="426"/>
      <c r="B205" s="426"/>
      <c r="C205" s="426"/>
      <c r="D205" s="426"/>
      <c r="E205" s="426"/>
      <c r="F205" s="490"/>
      <c r="G205" s="490"/>
      <c r="H205" s="490"/>
      <c r="I205" s="490"/>
      <c r="J205" s="490"/>
      <c r="K205" s="490"/>
      <c r="L205" s="490"/>
      <c r="M205" s="490"/>
      <c r="N205" s="490"/>
      <c r="O205" s="490"/>
    </row>
    <row r="206" spans="1:15" ht="12.75" customHeight="1">
      <c r="A206" s="426"/>
      <c r="B206" s="426"/>
      <c r="C206" s="426"/>
      <c r="D206" s="426"/>
      <c r="E206" s="426"/>
      <c r="F206" s="490"/>
      <c r="G206" s="490"/>
      <c r="H206" s="490"/>
      <c r="I206" s="490"/>
      <c r="J206" s="490"/>
      <c r="K206" s="490"/>
      <c r="L206" s="490"/>
      <c r="M206" s="490"/>
      <c r="N206" s="490"/>
      <c r="O206" s="490"/>
    </row>
    <row r="207" spans="1:15" ht="12.75" customHeight="1">
      <c r="A207" s="426"/>
      <c r="B207" s="426"/>
      <c r="C207" s="426"/>
      <c r="D207" s="426"/>
      <c r="E207" s="426"/>
      <c r="F207" s="490"/>
      <c r="G207" s="490"/>
      <c r="H207" s="490"/>
      <c r="I207" s="490"/>
      <c r="J207" s="490"/>
      <c r="K207" s="490"/>
      <c r="L207" s="490"/>
      <c r="M207" s="490"/>
      <c r="N207" s="490"/>
      <c r="O207" s="490"/>
    </row>
    <row r="208" spans="1:15" ht="12.75" customHeight="1">
      <c r="A208" s="426"/>
      <c r="B208" s="426"/>
      <c r="C208" s="426"/>
      <c r="D208" s="426"/>
      <c r="E208" s="426"/>
      <c r="F208" s="490"/>
      <c r="G208" s="490"/>
      <c r="H208" s="490"/>
      <c r="I208" s="490"/>
      <c r="J208" s="490"/>
      <c r="K208" s="490"/>
      <c r="L208" s="490"/>
      <c r="M208" s="490"/>
      <c r="N208" s="490"/>
      <c r="O208" s="490"/>
    </row>
    <row r="209" spans="1:15" ht="12.75" customHeight="1">
      <c r="A209" s="426"/>
      <c r="B209" s="426"/>
      <c r="C209" s="426"/>
      <c r="D209" s="426"/>
      <c r="E209" s="426"/>
      <c r="F209" s="490"/>
      <c r="G209" s="490"/>
      <c r="H209" s="490"/>
      <c r="I209" s="490"/>
      <c r="J209" s="490"/>
      <c r="K209" s="490"/>
      <c r="L209" s="490"/>
      <c r="M209" s="490"/>
      <c r="N209" s="490"/>
      <c r="O209" s="490"/>
    </row>
    <row r="210" spans="1:15" ht="12.75" customHeight="1">
      <c r="A210" s="426"/>
      <c r="B210" s="426"/>
      <c r="C210" s="426"/>
      <c r="D210" s="426"/>
      <c r="E210" s="426"/>
      <c r="F210" s="490"/>
      <c r="G210" s="490"/>
      <c r="H210" s="490"/>
      <c r="I210" s="490"/>
      <c r="J210" s="490"/>
      <c r="K210" s="490"/>
      <c r="L210" s="490"/>
      <c r="M210" s="490"/>
      <c r="N210" s="490"/>
      <c r="O210" s="490"/>
    </row>
    <row r="211" spans="1:15" ht="12.75" customHeight="1">
      <c r="A211" s="426"/>
      <c r="B211" s="426"/>
      <c r="C211" s="426"/>
      <c r="D211" s="426"/>
      <c r="E211" s="426"/>
      <c r="F211" s="490"/>
      <c r="G211" s="490"/>
      <c r="H211" s="490"/>
      <c r="I211" s="490"/>
      <c r="J211" s="490"/>
      <c r="K211" s="490"/>
      <c r="L211" s="490"/>
      <c r="M211" s="490"/>
      <c r="N211" s="490"/>
      <c r="O211" s="490"/>
    </row>
    <row r="212" spans="1:15" ht="12.75" customHeight="1">
      <c r="A212" s="426"/>
      <c r="B212" s="426"/>
      <c r="C212" s="426"/>
      <c r="D212" s="426"/>
      <c r="E212" s="426"/>
      <c r="F212" s="490"/>
      <c r="G212" s="490"/>
      <c r="H212" s="490"/>
      <c r="I212" s="490"/>
      <c r="J212" s="490"/>
      <c r="K212" s="490"/>
      <c r="L212" s="490"/>
      <c r="M212" s="490"/>
      <c r="N212" s="490"/>
      <c r="O212" s="490"/>
    </row>
    <row r="213" spans="1:15" ht="12.75" customHeight="1">
      <c r="A213" s="426"/>
      <c r="B213" s="426"/>
      <c r="C213" s="426"/>
      <c r="D213" s="426"/>
      <c r="E213" s="426"/>
      <c r="F213" s="490"/>
      <c r="G213" s="490"/>
      <c r="H213" s="490"/>
      <c r="I213" s="490"/>
      <c r="J213" s="490"/>
      <c r="K213" s="490"/>
      <c r="L213" s="490"/>
      <c r="M213" s="490"/>
      <c r="N213" s="490"/>
      <c r="O213" s="490"/>
    </row>
    <row r="214" spans="1:15" ht="12.75" customHeight="1">
      <c r="A214" s="426"/>
      <c r="B214" s="426"/>
      <c r="C214" s="426"/>
      <c r="D214" s="426"/>
      <c r="E214" s="426"/>
      <c r="F214" s="490"/>
      <c r="G214" s="490"/>
      <c r="H214" s="490"/>
      <c r="I214" s="490"/>
      <c r="J214" s="490"/>
      <c r="K214" s="490"/>
      <c r="L214" s="490"/>
      <c r="M214" s="490"/>
      <c r="N214" s="490"/>
      <c r="O214" s="490"/>
    </row>
    <row r="215" spans="1:15" ht="12.75" customHeight="1">
      <c r="A215" s="426"/>
      <c r="B215" s="426"/>
      <c r="C215" s="426"/>
      <c r="D215" s="426"/>
      <c r="E215" s="426"/>
      <c r="F215" s="490"/>
      <c r="G215" s="490"/>
      <c r="H215" s="490"/>
      <c r="I215" s="490"/>
      <c r="J215" s="490"/>
      <c r="K215" s="490"/>
      <c r="L215" s="490"/>
      <c r="M215" s="490"/>
      <c r="N215" s="490"/>
      <c r="O215" s="490"/>
    </row>
    <row r="216" spans="1:15" ht="12.75" customHeight="1">
      <c r="A216" s="426"/>
      <c r="B216" s="426"/>
      <c r="C216" s="426"/>
      <c r="D216" s="426"/>
      <c r="E216" s="426"/>
      <c r="F216" s="490"/>
      <c r="G216" s="490"/>
      <c r="H216" s="490"/>
      <c r="I216" s="490"/>
      <c r="J216" s="490"/>
      <c r="K216" s="490"/>
      <c r="L216" s="490"/>
      <c r="M216" s="490"/>
      <c r="N216" s="490"/>
      <c r="O216" s="490"/>
    </row>
    <row r="217" spans="1:15" ht="12.75" customHeight="1">
      <c r="A217" s="426"/>
      <c r="B217" s="426"/>
      <c r="C217" s="426"/>
      <c r="D217" s="426"/>
      <c r="E217" s="426"/>
      <c r="F217" s="490"/>
      <c r="G217" s="490"/>
      <c r="H217" s="490"/>
      <c r="I217" s="490"/>
      <c r="J217" s="490"/>
      <c r="K217" s="490"/>
      <c r="L217" s="490"/>
      <c r="M217" s="490"/>
      <c r="N217" s="490"/>
      <c r="O217" s="490"/>
    </row>
    <row r="218" spans="1:15" ht="12.75" customHeight="1">
      <c r="A218" s="426"/>
      <c r="B218" s="426"/>
      <c r="C218" s="426"/>
      <c r="D218" s="426"/>
      <c r="E218" s="426"/>
      <c r="F218" s="490"/>
      <c r="G218" s="490"/>
      <c r="H218" s="490"/>
      <c r="I218" s="490"/>
      <c r="J218" s="490"/>
      <c r="K218" s="490"/>
      <c r="L218" s="490"/>
      <c r="M218" s="490"/>
      <c r="N218" s="490"/>
      <c r="O218" s="490"/>
    </row>
    <row r="219" spans="1:15" ht="12.75" customHeight="1">
      <c r="A219" s="426"/>
      <c r="B219" s="426"/>
      <c r="C219" s="426"/>
      <c r="D219" s="426"/>
      <c r="E219" s="426"/>
      <c r="F219" s="490"/>
      <c r="G219" s="490"/>
      <c r="H219" s="490"/>
      <c r="I219" s="490"/>
      <c r="J219" s="490"/>
      <c r="K219" s="490"/>
      <c r="L219" s="490"/>
      <c r="M219" s="490"/>
      <c r="N219" s="490"/>
      <c r="O219" s="490"/>
    </row>
    <row r="220" spans="1:15" ht="12.75" customHeight="1">
      <c r="A220" s="426"/>
      <c r="B220" s="426"/>
      <c r="C220" s="426"/>
      <c r="D220" s="426"/>
      <c r="E220" s="426"/>
      <c r="F220" s="490"/>
      <c r="G220" s="490"/>
      <c r="H220" s="490"/>
      <c r="I220" s="490"/>
      <c r="J220" s="490"/>
      <c r="K220" s="490"/>
      <c r="L220" s="490"/>
      <c r="M220" s="490"/>
      <c r="N220" s="490"/>
      <c r="O220" s="490"/>
    </row>
    <row r="221" spans="1:15" ht="12.75" customHeight="1">
      <c r="A221" s="426"/>
      <c r="B221" s="426"/>
      <c r="C221" s="426"/>
      <c r="D221" s="426"/>
      <c r="E221" s="426"/>
      <c r="F221" s="490"/>
      <c r="G221" s="490"/>
      <c r="H221" s="490"/>
      <c r="I221" s="490"/>
      <c r="J221" s="490"/>
      <c r="K221" s="490"/>
      <c r="L221" s="490"/>
      <c r="M221" s="490"/>
      <c r="N221" s="490"/>
      <c r="O221" s="490"/>
    </row>
    <row r="222" spans="1:15" ht="12.75" customHeight="1">
      <c r="A222" s="426"/>
      <c r="B222" s="426"/>
      <c r="C222" s="426"/>
      <c r="D222" s="426"/>
      <c r="E222" s="426"/>
      <c r="F222" s="490"/>
      <c r="G222" s="490"/>
      <c r="H222" s="490"/>
      <c r="I222" s="490"/>
      <c r="J222" s="490"/>
      <c r="K222" s="490"/>
      <c r="L222" s="490"/>
      <c r="M222" s="490"/>
      <c r="N222" s="490"/>
      <c r="O222" s="490"/>
    </row>
    <row r="223" spans="1:15" ht="12.75" customHeight="1">
      <c r="A223" s="426"/>
      <c r="B223" s="426"/>
      <c r="C223" s="426"/>
      <c r="D223" s="426"/>
      <c r="E223" s="426"/>
      <c r="F223" s="490"/>
      <c r="G223" s="490"/>
      <c r="H223" s="490"/>
      <c r="I223" s="490"/>
      <c r="J223" s="490"/>
      <c r="K223" s="490"/>
      <c r="L223" s="490"/>
      <c r="M223" s="490"/>
      <c r="N223" s="490"/>
      <c r="O223" s="490"/>
    </row>
    <row r="224" spans="1:15" ht="12.75" customHeight="1">
      <c r="A224" s="426"/>
      <c r="B224" s="426"/>
      <c r="C224" s="426"/>
      <c r="D224" s="426"/>
      <c r="E224" s="426"/>
      <c r="F224" s="490"/>
      <c r="G224" s="490"/>
      <c r="H224" s="490"/>
      <c r="I224" s="490"/>
      <c r="J224" s="490"/>
      <c r="K224" s="490"/>
      <c r="L224" s="490"/>
      <c r="M224" s="490"/>
      <c r="N224" s="490"/>
      <c r="O224" s="490"/>
    </row>
    <row r="225" spans="1:15" ht="12.75" customHeight="1">
      <c r="A225" s="426"/>
      <c r="B225" s="426"/>
      <c r="C225" s="426"/>
      <c r="D225" s="426"/>
      <c r="E225" s="426"/>
      <c r="F225" s="490"/>
      <c r="G225" s="490"/>
      <c r="H225" s="490"/>
      <c r="I225" s="490"/>
      <c r="J225" s="490"/>
      <c r="K225" s="490"/>
      <c r="L225" s="490"/>
      <c r="M225" s="490"/>
      <c r="N225" s="490"/>
      <c r="O225" s="490"/>
    </row>
    <row r="226" spans="1:15" ht="12.75" customHeight="1">
      <c r="A226" s="426"/>
      <c r="B226" s="426"/>
      <c r="C226" s="426"/>
      <c r="D226" s="426"/>
      <c r="E226" s="426"/>
      <c r="F226" s="490"/>
      <c r="G226" s="490"/>
      <c r="H226" s="490"/>
      <c r="I226" s="490"/>
      <c r="J226" s="490"/>
      <c r="K226" s="490"/>
      <c r="L226" s="490"/>
      <c r="M226" s="490"/>
      <c r="N226" s="490"/>
      <c r="O226" s="490"/>
    </row>
    <row r="227" spans="1:15" ht="12.75" customHeight="1">
      <c r="A227" s="426"/>
      <c r="B227" s="426"/>
      <c r="C227" s="426"/>
      <c r="D227" s="426"/>
      <c r="E227" s="426"/>
      <c r="F227" s="490"/>
      <c r="G227" s="490"/>
      <c r="H227" s="490"/>
      <c r="I227" s="490"/>
      <c r="J227" s="490"/>
      <c r="K227" s="490"/>
      <c r="L227" s="490"/>
      <c r="M227" s="490"/>
      <c r="N227" s="490"/>
      <c r="O227" s="490"/>
    </row>
    <row r="228" spans="1:15" ht="12.75" customHeight="1">
      <c r="A228" s="426"/>
      <c r="B228" s="426"/>
      <c r="C228" s="426"/>
      <c r="D228" s="426"/>
      <c r="E228" s="426"/>
      <c r="F228" s="490"/>
      <c r="G228" s="490"/>
      <c r="H228" s="490"/>
      <c r="I228" s="490"/>
      <c r="J228" s="490"/>
      <c r="K228" s="490"/>
      <c r="L228" s="490"/>
      <c r="M228" s="490"/>
      <c r="N228" s="490"/>
      <c r="O228" s="490"/>
    </row>
    <row r="229" spans="1:15" ht="12.75" customHeight="1">
      <c r="A229" s="426"/>
      <c r="B229" s="426"/>
      <c r="C229" s="426"/>
      <c r="D229" s="426"/>
      <c r="E229" s="426"/>
      <c r="F229" s="490"/>
      <c r="G229" s="490"/>
      <c r="H229" s="490"/>
      <c r="I229" s="490"/>
      <c r="J229" s="490"/>
      <c r="K229" s="490"/>
      <c r="L229" s="490"/>
      <c r="M229" s="490"/>
      <c r="N229" s="490"/>
      <c r="O229" s="490"/>
    </row>
    <row r="230" spans="1:15" ht="12.75" customHeight="1">
      <c r="A230" s="426"/>
      <c r="B230" s="426"/>
      <c r="C230" s="426"/>
      <c r="D230" s="426"/>
      <c r="E230" s="426"/>
      <c r="F230" s="490"/>
      <c r="G230" s="490"/>
      <c r="H230" s="490"/>
      <c r="I230" s="490"/>
      <c r="J230" s="490"/>
      <c r="K230" s="490"/>
      <c r="L230" s="490"/>
      <c r="M230" s="490"/>
      <c r="N230" s="490"/>
      <c r="O230" s="490"/>
    </row>
    <row r="231" spans="1:15" ht="12.75" customHeight="1">
      <c r="A231" s="426"/>
      <c r="B231" s="426"/>
      <c r="C231" s="426"/>
      <c r="D231" s="426"/>
      <c r="E231" s="426"/>
      <c r="F231" s="490"/>
      <c r="G231" s="490"/>
      <c r="H231" s="490"/>
      <c r="I231" s="490"/>
      <c r="J231" s="490"/>
      <c r="K231" s="490"/>
      <c r="L231" s="490"/>
      <c r="M231" s="490"/>
      <c r="N231" s="490"/>
      <c r="O231" s="490"/>
    </row>
    <row r="232" spans="1:15" ht="12.75" customHeight="1">
      <c r="A232" s="426"/>
      <c r="B232" s="426"/>
      <c r="C232" s="426"/>
      <c r="D232" s="426"/>
      <c r="E232" s="426"/>
      <c r="F232" s="490"/>
      <c r="G232" s="490"/>
      <c r="H232" s="490"/>
      <c r="I232" s="490"/>
      <c r="J232" s="490"/>
      <c r="K232" s="490"/>
      <c r="L232" s="490"/>
      <c r="M232" s="490"/>
      <c r="N232" s="490"/>
      <c r="O232" s="490"/>
    </row>
    <row r="233" spans="1:15" ht="12.75" customHeight="1">
      <c r="A233" s="426"/>
      <c r="B233" s="426"/>
      <c r="C233" s="426"/>
      <c r="D233" s="426"/>
      <c r="E233" s="426"/>
      <c r="F233" s="490"/>
      <c r="G233" s="490"/>
      <c r="H233" s="490"/>
      <c r="I233" s="490"/>
      <c r="J233" s="490"/>
      <c r="K233" s="490"/>
      <c r="L233" s="490"/>
      <c r="M233" s="490"/>
      <c r="N233" s="490"/>
      <c r="O233" s="490"/>
    </row>
    <row r="234" spans="1:15" ht="12.75" customHeight="1">
      <c r="A234" s="426"/>
      <c r="B234" s="426"/>
      <c r="C234" s="426"/>
      <c r="D234" s="426"/>
      <c r="E234" s="426"/>
      <c r="F234" s="490"/>
      <c r="G234" s="490"/>
      <c r="H234" s="490"/>
      <c r="I234" s="490"/>
      <c r="J234" s="490"/>
      <c r="K234" s="490"/>
      <c r="L234" s="490"/>
      <c r="M234" s="490"/>
      <c r="N234" s="490"/>
      <c r="O234" s="490"/>
    </row>
    <row r="235" spans="1:15" ht="12.75" customHeight="1">
      <c r="A235" s="426"/>
      <c r="B235" s="426"/>
      <c r="C235" s="426"/>
      <c r="D235" s="426"/>
      <c r="E235" s="426"/>
      <c r="F235" s="490"/>
      <c r="G235" s="490"/>
      <c r="H235" s="490"/>
      <c r="I235" s="490"/>
      <c r="J235" s="490"/>
      <c r="K235" s="490"/>
      <c r="L235" s="490"/>
      <c r="M235" s="490"/>
      <c r="N235" s="490"/>
      <c r="O235" s="490"/>
    </row>
    <row r="236" spans="1:15" ht="12.75" customHeight="1">
      <c r="A236" s="426"/>
      <c r="B236" s="426"/>
      <c r="C236" s="426"/>
      <c r="D236" s="426"/>
      <c r="E236" s="426"/>
      <c r="F236" s="490"/>
      <c r="G236" s="490"/>
      <c r="H236" s="490"/>
      <c r="I236" s="490"/>
      <c r="J236" s="490"/>
      <c r="K236" s="490"/>
      <c r="L236" s="490"/>
      <c r="M236" s="490"/>
      <c r="N236" s="490"/>
      <c r="O236" s="490"/>
    </row>
    <row r="237" spans="1:15" ht="12.75" customHeight="1">
      <c r="A237" s="426"/>
      <c r="B237" s="426"/>
      <c r="C237" s="426"/>
      <c r="D237" s="426"/>
      <c r="E237" s="426"/>
      <c r="F237" s="490"/>
      <c r="G237" s="490"/>
      <c r="H237" s="490"/>
      <c r="I237" s="490"/>
      <c r="J237" s="490"/>
      <c r="K237" s="490"/>
      <c r="L237" s="490"/>
      <c r="M237" s="490"/>
      <c r="N237" s="490"/>
      <c r="O237" s="490"/>
    </row>
    <row r="238" spans="1:15" ht="12.75" customHeight="1">
      <c r="A238" s="426"/>
      <c r="B238" s="426"/>
      <c r="C238" s="426"/>
      <c r="D238" s="426"/>
      <c r="E238" s="426"/>
      <c r="F238" s="490"/>
      <c r="G238" s="490"/>
      <c r="H238" s="490"/>
      <c r="I238" s="490"/>
      <c r="J238" s="490"/>
      <c r="K238" s="490"/>
      <c r="L238" s="490"/>
      <c r="M238" s="490"/>
      <c r="N238" s="490"/>
      <c r="O238" s="490"/>
    </row>
    <row r="239" spans="1:15" ht="12.75" customHeight="1">
      <c r="A239" s="426"/>
      <c r="B239" s="426"/>
      <c r="C239" s="426"/>
      <c r="D239" s="426"/>
      <c r="E239" s="426"/>
      <c r="F239" s="490"/>
      <c r="G239" s="490"/>
      <c r="H239" s="490"/>
      <c r="I239" s="490"/>
      <c r="J239" s="490"/>
      <c r="K239" s="490"/>
      <c r="L239" s="490"/>
      <c r="M239" s="490"/>
      <c r="N239" s="490"/>
      <c r="O239" s="490"/>
    </row>
    <row r="240" spans="1:15" ht="12.75" customHeight="1">
      <c r="A240" s="426"/>
      <c r="B240" s="426"/>
      <c r="C240" s="426"/>
      <c r="D240" s="426"/>
      <c r="E240" s="426"/>
      <c r="F240" s="490"/>
      <c r="G240" s="490"/>
      <c r="H240" s="490"/>
      <c r="I240" s="490"/>
      <c r="J240" s="490"/>
      <c r="K240" s="490"/>
      <c r="L240" s="490"/>
      <c r="M240" s="490"/>
      <c r="N240" s="490"/>
      <c r="O240" s="490"/>
    </row>
    <row r="241" spans="1:15" ht="12.75" customHeight="1">
      <c r="A241" s="426"/>
      <c r="B241" s="426"/>
      <c r="C241" s="426"/>
      <c r="D241" s="426"/>
      <c r="E241" s="426"/>
      <c r="F241" s="490"/>
      <c r="G241" s="490"/>
      <c r="H241" s="490"/>
      <c r="I241" s="490"/>
      <c r="J241" s="490"/>
      <c r="K241" s="490"/>
      <c r="L241" s="490"/>
      <c r="M241" s="490"/>
      <c r="N241" s="490"/>
      <c r="O241" s="490"/>
    </row>
    <row r="242" spans="1:15" ht="12.75" customHeight="1">
      <c r="A242" s="426"/>
      <c r="B242" s="426"/>
      <c r="C242" s="426"/>
      <c r="D242" s="426"/>
      <c r="E242" s="426"/>
      <c r="F242" s="490"/>
      <c r="G242" s="490"/>
      <c r="H242" s="490"/>
      <c r="I242" s="490"/>
      <c r="J242" s="490"/>
      <c r="K242" s="490"/>
      <c r="L242" s="490"/>
      <c r="M242" s="490"/>
      <c r="N242" s="490"/>
      <c r="O242" s="490"/>
    </row>
    <row r="243" spans="1:15" ht="12.75" customHeight="1">
      <c r="A243" s="426"/>
      <c r="B243" s="426"/>
      <c r="C243" s="426"/>
      <c r="D243" s="426"/>
      <c r="E243" s="426"/>
      <c r="F243" s="490"/>
      <c r="G243" s="490"/>
      <c r="H243" s="490"/>
      <c r="I243" s="490"/>
      <c r="J243" s="490"/>
      <c r="K243" s="490"/>
      <c r="L243" s="490"/>
      <c r="M243" s="490"/>
      <c r="N243" s="490"/>
      <c r="O243" s="490"/>
    </row>
    <row r="244" spans="1:15" ht="12.75" customHeight="1">
      <c r="A244" s="426"/>
      <c r="B244" s="426"/>
      <c r="C244" s="426"/>
      <c r="D244" s="426"/>
      <c r="E244" s="426"/>
      <c r="F244" s="490"/>
      <c r="G244" s="490"/>
      <c r="H244" s="490"/>
      <c r="I244" s="490"/>
      <c r="J244" s="490"/>
      <c r="K244" s="490"/>
      <c r="L244" s="490"/>
      <c r="M244" s="490"/>
      <c r="N244" s="490"/>
      <c r="O244" s="490"/>
    </row>
    <row r="245" spans="1:15" ht="12.75" customHeight="1">
      <c r="A245" s="426"/>
      <c r="B245" s="426"/>
      <c r="C245" s="426"/>
      <c r="D245" s="426"/>
      <c r="E245" s="426"/>
      <c r="F245" s="490"/>
      <c r="G245" s="490"/>
      <c r="H245" s="490"/>
      <c r="I245" s="490"/>
      <c r="J245" s="490"/>
      <c r="K245" s="490"/>
      <c r="L245" s="490"/>
      <c r="M245" s="490"/>
      <c r="N245" s="490"/>
      <c r="O245" s="490"/>
    </row>
    <row r="246" spans="1:15" ht="12.75" customHeight="1">
      <c r="A246" s="426"/>
      <c r="B246" s="426"/>
      <c r="C246" s="426"/>
      <c r="D246" s="426"/>
      <c r="E246" s="426"/>
      <c r="F246" s="490"/>
      <c r="G246" s="490"/>
      <c r="H246" s="490"/>
      <c r="I246" s="490"/>
      <c r="J246" s="490"/>
      <c r="K246" s="490"/>
      <c r="L246" s="490"/>
      <c r="M246" s="490"/>
      <c r="N246" s="490"/>
      <c r="O246" s="490"/>
    </row>
    <row r="247" spans="1:15" ht="12.75" customHeight="1">
      <c r="A247" s="426"/>
      <c r="B247" s="426"/>
      <c r="C247" s="426"/>
      <c r="D247" s="426"/>
      <c r="E247" s="426"/>
      <c r="F247" s="490"/>
      <c r="G247" s="490"/>
      <c r="H247" s="490"/>
      <c r="I247" s="490"/>
      <c r="J247" s="490"/>
      <c r="K247" s="490"/>
      <c r="L247" s="490"/>
      <c r="M247" s="490"/>
      <c r="N247" s="490"/>
      <c r="O247" s="490"/>
    </row>
    <row r="248" spans="1:15" ht="12.75" customHeight="1">
      <c r="A248" s="426"/>
      <c r="B248" s="426"/>
      <c r="C248" s="426"/>
      <c r="D248" s="426"/>
      <c r="E248" s="426"/>
      <c r="F248" s="490"/>
      <c r="G248" s="490"/>
      <c r="H248" s="490"/>
      <c r="I248" s="490"/>
      <c r="J248" s="490"/>
      <c r="K248" s="490"/>
      <c r="L248" s="490"/>
      <c r="M248" s="490"/>
      <c r="N248" s="490"/>
      <c r="O248" s="490"/>
    </row>
    <row r="249" spans="1:15" ht="12.75" customHeight="1">
      <c r="A249" s="426"/>
      <c r="B249" s="426"/>
      <c r="C249" s="426"/>
      <c r="D249" s="426"/>
      <c r="E249" s="426"/>
      <c r="F249" s="490"/>
      <c r="G249" s="490"/>
      <c r="H249" s="490"/>
      <c r="I249" s="490"/>
      <c r="J249" s="490"/>
      <c r="K249" s="490"/>
      <c r="L249" s="490"/>
      <c r="M249" s="490"/>
      <c r="N249" s="490"/>
      <c r="O249" s="490"/>
    </row>
    <row r="250" spans="1:15" ht="12.75" customHeight="1">
      <c r="A250" s="426"/>
      <c r="B250" s="426"/>
      <c r="C250" s="426"/>
      <c r="D250" s="426"/>
      <c r="E250" s="426"/>
      <c r="F250" s="490"/>
      <c r="G250" s="490"/>
      <c r="H250" s="490"/>
      <c r="I250" s="490"/>
      <c r="J250" s="490"/>
      <c r="K250" s="490"/>
      <c r="L250" s="490"/>
      <c r="M250" s="490"/>
      <c r="N250" s="490"/>
      <c r="O250" s="490"/>
    </row>
    <row r="251" spans="1:15" ht="12.75" customHeight="1">
      <c r="A251" s="426"/>
      <c r="B251" s="426"/>
      <c r="C251" s="426"/>
      <c r="D251" s="426"/>
      <c r="E251" s="426"/>
      <c r="F251" s="490"/>
      <c r="G251" s="490"/>
      <c r="H251" s="490"/>
      <c r="I251" s="490"/>
      <c r="J251" s="490"/>
      <c r="K251" s="490"/>
      <c r="L251" s="490"/>
      <c r="M251" s="490"/>
      <c r="N251" s="490"/>
      <c r="O251" s="490"/>
    </row>
    <row r="252" spans="1:15" ht="12.75" customHeight="1">
      <c r="A252" s="426"/>
      <c r="B252" s="426"/>
      <c r="C252" s="426"/>
      <c r="D252" s="426"/>
      <c r="E252" s="426"/>
      <c r="F252" s="490"/>
      <c r="G252" s="490"/>
      <c r="H252" s="490"/>
      <c r="I252" s="490"/>
      <c r="J252" s="490"/>
      <c r="K252" s="490"/>
      <c r="L252" s="490"/>
      <c r="M252" s="490"/>
      <c r="N252" s="490"/>
      <c r="O252" s="490"/>
    </row>
    <row r="253" spans="1:15" ht="12.75" customHeight="1">
      <c r="A253" s="426"/>
      <c r="B253" s="426"/>
      <c r="C253" s="426"/>
      <c r="D253" s="426"/>
      <c r="E253" s="426"/>
      <c r="F253" s="490"/>
      <c r="G253" s="490"/>
      <c r="H253" s="490"/>
      <c r="I253" s="490"/>
      <c r="J253" s="490"/>
      <c r="K253" s="490"/>
      <c r="L253" s="490"/>
      <c r="M253" s="490"/>
      <c r="N253" s="490"/>
      <c r="O253" s="490"/>
    </row>
    <row r="254" spans="1:15" ht="12.75" customHeight="1">
      <c r="A254" s="426"/>
      <c r="B254" s="426"/>
      <c r="C254" s="426"/>
      <c r="D254" s="426"/>
      <c r="E254" s="426"/>
      <c r="F254" s="490"/>
      <c r="G254" s="490"/>
      <c r="H254" s="490"/>
      <c r="I254" s="490"/>
      <c r="J254" s="490"/>
      <c r="K254" s="490"/>
      <c r="L254" s="490"/>
      <c r="M254" s="490"/>
      <c r="N254" s="490"/>
      <c r="O254" s="490"/>
    </row>
    <row r="255" spans="1:15" ht="12.75" customHeight="1">
      <c r="A255" s="426"/>
      <c r="B255" s="426"/>
      <c r="C255" s="426"/>
      <c r="D255" s="426"/>
      <c r="E255" s="426"/>
      <c r="F255" s="490"/>
      <c r="G255" s="490"/>
      <c r="H255" s="490"/>
      <c r="I255" s="490"/>
      <c r="J255" s="490"/>
      <c r="K255" s="490"/>
      <c r="L255" s="490"/>
      <c r="M255" s="490"/>
      <c r="N255" s="490"/>
      <c r="O255" s="490"/>
    </row>
    <row r="256" spans="1:15" ht="12.75" customHeight="1">
      <c r="A256" s="426"/>
      <c r="B256" s="426"/>
      <c r="C256" s="426"/>
      <c r="D256" s="426"/>
      <c r="E256" s="426"/>
      <c r="F256" s="490"/>
      <c r="G256" s="490"/>
      <c r="H256" s="490"/>
      <c r="I256" s="490"/>
      <c r="J256" s="490"/>
      <c r="K256" s="490"/>
      <c r="L256" s="490"/>
      <c r="M256" s="490"/>
      <c r="N256" s="490"/>
      <c r="O256" s="490"/>
    </row>
    <row r="257" spans="1:15" ht="12.75" customHeight="1">
      <c r="A257" s="426"/>
      <c r="B257" s="426"/>
      <c r="C257" s="426"/>
      <c r="D257" s="426"/>
      <c r="E257" s="426"/>
      <c r="F257" s="490"/>
      <c r="G257" s="490"/>
      <c r="H257" s="490"/>
      <c r="I257" s="490"/>
      <c r="J257" s="490"/>
      <c r="K257" s="490"/>
      <c r="L257" s="490"/>
      <c r="M257" s="490"/>
      <c r="N257" s="490"/>
      <c r="O257" s="490"/>
    </row>
    <row r="258" spans="1:15" ht="12.75" customHeight="1">
      <c r="A258" s="426"/>
      <c r="B258" s="426"/>
      <c r="C258" s="426"/>
      <c r="D258" s="426"/>
      <c r="E258" s="426"/>
      <c r="F258" s="490"/>
      <c r="G258" s="490"/>
      <c r="H258" s="490"/>
      <c r="I258" s="490"/>
      <c r="J258" s="490"/>
      <c r="K258" s="490"/>
      <c r="L258" s="490"/>
      <c r="M258" s="490"/>
      <c r="N258" s="490"/>
      <c r="O258" s="490"/>
    </row>
    <row r="259" spans="1:15" ht="12.75" customHeight="1">
      <c r="A259" s="426"/>
      <c r="B259" s="426"/>
      <c r="C259" s="426"/>
      <c r="D259" s="426"/>
      <c r="E259" s="426"/>
      <c r="F259" s="490"/>
      <c r="G259" s="490"/>
      <c r="H259" s="490"/>
      <c r="I259" s="490"/>
      <c r="J259" s="490"/>
      <c r="K259" s="490"/>
      <c r="L259" s="490"/>
      <c r="M259" s="490"/>
      <c r="N259" s="490"/>
      <c r="O259" s="490"/>
    </row>
    <row r="260" spans="1:15" ht="12.75" customHeight="1">
      <c r="A260" s="426"/>
      <c r="B260" s="426"/>
      <c r="C260" s="426"/>
      <c r="D260" s="426"/>
      <c r="E260" s="426"/>
      <c r="F260" s="490"/>
      <c r="G260" s="490"/>
      <c r="H260" s="490"/>
      <c r="I260" s="490"/>
      <c r="J260" s="490"/>
      <c r="K260" s="490"/>
      <c r="L260" s="490"/>
      <c r="M260" s="490"/>
      <c r="N260" s="490"/>
      <c r="O260" s="490"/>
    </row>
    <row r="261" spans="1:15" ht="12.75" customHeight="1">
      <c r="A261" s="426"/>
      <c r="B261" s="426"/>
      <c r="C261" s="426"/>
      <c r="D261" s="426"/>
      <c r="E261" s="426"/>
      <c r="F261" s="490"/>
      <c r="G261" s="490"/>
      <c r="H261" s="490"/>
      <c r="I261" s="490"/>
      <c r="J261" s="490"/>
      <c r="K261" s="490"/>
      <c r="L261" s="490"/>
      <c r="M261" s="490"/>
      <c r="N261" s="490"/>
      <c r="O261" s="490"/>
    </row>
    <row r="262" spans="1:15" ht="12.75" customHeight="1">
      <c r="A262" s="426"/>
      <c r="B262" s="426"/>
      <c r="C262" s="426"/>
      <c r="D262" s="426"/>
      <c r="E262" s="426"/>
      <c r="F262" s="490"/>
      <c r="G262" s="490"/>
      <c r="H262" s="490"/>
      <c r="I262" s="490"/>
      <c r="J262" s="490"/>
      <c r="K262" s="490"/>
      <c r="L262" s="490"/>
      <c r="M262" s="490"/>
      <c r="N262" s="490"/>
      <c r="O262" s="490"/>
    </row>
    <row r="263" spans="1:15" ht="12.75" customHeight="1">
      <c r="A263" s="426"/>
      <c r="B263" s="426"/>
      <c r="C263" s="426"/>
      <c r="D263" s="426"/>
      <c r="E263" s="426"/>
      <c r="F263" s="490"/>
      <c r="G263" s="490"/>
      <c r="H263" s="490"/>
      <c r="I263" s="490"/>
      <c r="J263" s="490"/>
      <c r="K263" s="490"/>
      <c r="L263" s="490"/>
      <c r="M263" s="490"/>
      <c r="N263" s="490"/>
      <c r="O263" s="490"/>
    </row>
    <row r="264" spans="1:15" ht="12.75" customHeight="1">
      <c r="A264" s="426"/>
      <c r="B264" s="426"/>
      <c r="C264" s="426"/>
      <c r="D264" s="426"/>
      <c r="E264" s="426"/>
      <c r="F264" s="490"/>
      <c r="G264" s="490"/>
      <c r="H264" s="490"/>
      <c r="I264" s="490"/>
      <c r="J264" s="490"/>
      <c r="K264" s="490"/>
      <c r="L264" s="490"/>
      <c r="M264" s="490"/>
      <c r="N264" s="490"/>
      <c r="O264" s="490"/>
    </row>
    <row r="265" spans="1:15" ht="12.75" customHeight="1">
      <c r="A265" s="426"/>
      <c r="B265" s="426"/>
      <c r="C265" s="426"/>
      <c r="D265" s="426"/>
      <c r="E265" s="426"/>
      <c r="F265" s="490"/>
      <c r="G265" s="490"/>
      <c r="H265" s="490"/>
      <c r="I265" s="490"/>
      <c r="J265" s="490"/>
      <c r="K265" s="490"/>
      <c r="L265" s="490"/>
      <c r="M265" s="490"/>
      <c r="N265" s="490"/>
      <c r="O265" s="490"/>
    </row>
    <row r="266" spans="1:15" ht="12.75" customHeight="1">
      <c r="A266" s="426"/>
      <c r="B266" s="426"/>
      <c r="C266" s="426"/>
      <c r="D266" s="426"/>
      <c r="E266" s="426"/>
      <c r="F266" s="490"/>
      <c r="G266" s="490"/>
      <c r="H266" s="490"/>
      <c r="I266" s="490"/>
      <c r="J266" s="490"/>
      <c r="K266" s="490"/>
      <c r="L266" s="490"/>
      <c r="M266" s="490"/>
      <c r="N266" s="490"/>
      <c r="O266" s="490"/>
    </row>
    <row r="267" spans="1:15" ht="12.75" customHeight="1">
      <c r="A267" s="426"/>
      <c r="B267" s="426"/>
      <c r="C267" s="426"/>
      <c r="D267" s="426"/>
      <c r="E267" s="426"/>
      <c r="F267" s="490"/>
      <c r="G267" s="490"/>
      <c r="H267" s="490"/>
      <c r="I267" s="490"/>
      <c r="J267" s="490"/>
      <c r="K267" s="490"/>
      <c r="L267" s="490"/>
      <c r="M267" s="490"/>
      <c r="N267" s="490"/>
      <c r="O267" s="490"/>
    </row>
    <row r="268" spans="1:15" ht="12.75" customHeight="1">
      <c r="A268" s="426"/>
      <c r="B268" s="426"/>
      <c r="C268" s="426"/>
      <c r="D268" s="426"/>
      <c r="E268" s="426"/>
      <c r="F268" s="490"/>
      <c r="G268" s="490"/>
      <c r="H268" s="490"/>
      <c r="I268" s="490"/>
      <c r="J268" s="490"/>
      <c r="K268" s="490"/>
      <c r="L268" s="490"/>
      <c r="M268" s="490"/>
      <c r="N268" s="490"/>
      <c r="O268" s="490"/>
    </row>
    <row r="269" spans="1:15" ht="12.75" customHeight="1">
      <c r="A269" s="426"/>
      <c r="B269" s="426"/>
      <c r="C269" s="426"/>
      <c r="D269" s="426"/>
      <c r="E269" s="426"/>
      <c r="F269" s="490"/>
      <c r="G269" s="490"/>
      <c r="H269" s="490"/>
      <c r="I269" s="490"/>
      <c r="J269" s="490"/>
      <c r="K269" s="490"/>
      <c r="L269" s="490"/>
      <c r="M269" s="490"/>
      <c r="N269" s="490"/>
      <c r="O269" s="490"/>
    </row>
    <row r="270" spans="1:15" ht="12.75" customHeight="1">
      <c r="A270" s="426"/>
      <c r="B270" s="426"/>
      <c r="C270" s="426"/>
      <c r="D270" s="426"/>
      <c r="E270" s="426"/>
      <c r="F270" s="490"/>
      <c r="G270" s="490"/>
      <c r="H270" s="490"/>
      <c r="I270" s="490"/>
      <c r="J270" s="490"/>
      <c r="K270" s="490"/>
      <c r="L270" s="490"/>
      <c r="M270" s="490"/>
      <c r="N270" s="490"/>
      <c r="O270" s="490"/>
    </row>
    <row r="271" spans="1:15" ht="12.75" customHeight="1">
      <c r="A271" s="426"/>
      <c r="B271" s="426"/>
      <c r="C271" s="426"/>
      <c r="D271" s="426"/>
      <c r="E271" s="426"/>
      <c r="F271" s="490"/>
      <c r="G271" s="490"/>
      <c r="H271" s="490"/>
      <c r="I271" s="490"/>
      <c r="J271" s="490"/>
      <c r="K271" s="490"/>
      <c r="L271" s="490"/>
      <c r="M271" s="490"/>
      <c r="N271" s="490"/>
      <c r="O271" s="490"/>
    </row>
    <row r="272" spans="1:15" ht="12.75" customHeight="1">
      <c r="A272" s="426"/>
      <c r="B272" s="426"/>
      <c r="C272" s="426"/>
      <c r="D272" s="426"/>
      <c r="E272" s="426"/>
      <c r="F272" s="490"/>
      <c r="G272" s="490"/>
      <c r="H272" s="490"/>
      <c r="I272" s="490"/>
      <c r="J272" s="490"/>
      <c r="K272" s="490"/>
      <c r="L272" s="490"/>
      <c r="M272" s="490"/>
      <c r="N272" s="490"/>
      <c r="O272" s="490"/>
    </row>
    <row r="273" spans="1:15" ht="12.75" customHeight="1">
      <c r="A273" s="426"/>
      <c r="B273" s="426"/>
      <c r="C273" s="426"/>
      <c r="D273" s="426"/>
      <c r="E273" s="426"/>
      <c r="F273" s="490"/>
      <c r="G273" s="490"/>
      <c r="H273" s="490"/>
      <c r="I273" s="490"/>
      <c r="J273" s="490"/>
      <c r="K273" s="490"/>
      <c r="L273" s="490"/>
      <c r="M273" s="490"/>
      <c r="N273" s="490"/>
      <c r="O273" s="490"/>
    </row>
    <row r="274" spans="1:15" ht="12.75" customHeight="1">
      <c r="A274" s="426"/>
      <c r="B274" s="426"/>
      <c r="C274" s="426"/>
      <c r="D274" s="426"/>
      <c r="E274" s="426"/>
      <c r="F274" s="490"/>
      <c r="G274" s="490"/>
      <c r="H274" s="490"/>
      <c r="I274" s="490"/>
      <c r="J274" s="490"/>
      <c r="K274" s="490"/>
      <c r="L274" s="490"/>
      <c r="M274" s="490"/>
      <c r="N274" s="490"/>
      <c r="O274" s="490"/>
    </row>
    <row r="275" spans="1:15" ht="12.75" customHeight="1">
      <c r="A275" s="426"/>
      <c r="B275" s="426"/>
      <c r="C275" s="426"/>
      <c r="D275" s="426"/>
      <c r="E275" s="426"/>
      <c r="F275" s="490"/>
      <c r="G275" s="490"/>
      <c r="H275" s="490"/>
      <c r="I275" s="490"/>
      <c r="J275" s="490"/>
      <c r="K275" s="490"/>
      <c r="L275" s="490"/>
      <c r="M275" s="490"/>
      <c r="N275" s="490"/>
      <c r="O275" s="490"/>
    </row>
    <row r="276" spans="1:15" ht="12.75" customHeight="1">
      <c r="A276" s="426"/>
      <c r="B276" s="426"/>
      <c r="C276" s="426"/>
      <c r="D276" s="426"/>
      <c r="E276" s="426"/>
      <c r="F276" s="490"/>
      <c r="G276" s="490"/>
      <c r="H276" s="490"/>
      <c r="I276" s="490"/>
      <c r="J276" s="490"/>
      <c r="K276" s="490"/>
      <c r="L276" s="490"/>
      <c r="M276" s="490"/>
      <c r="N276" s="490"/>
      <c r="O276" s="490"/>
    </row>
    <row r="277" spans="1:15" ht="12.75" customHeight="1">
      <c r="A277" s="426"/>
      <c r="B277" s="426"/>
      <c r="C277" s="426"/>
      <c r="D277" s="426"/>
      <c r="E277" s="426"/>
      <c r="F277" s="490"/>
      <c r="G277" s="490"/>
      <c r="H277" s="490"/>
      <c r="I277" s="490"/>
      <c r="J277" s="490"/>
      <c r="K277" s="490"/>
      <c r="L277" s="490"/>
      <c r="M277" s="490"/>
      <c r="N277" s="490"/>
      <c r="O277" s="490"/>
    </row>
    <row r="278" spans="1:15" ht="12.75" customHeight="1">
      <c r="A278" s="426"/>
      <c r="B278" s="426"/>
      <c r="C278" s="426"/>
      <c r="D278" s="426"/>
      <c r="E278" s="426"/>
      <c r="F278" s="490"/>
      <c r="G278" s="490"/>
      <c r="H278" s="490"/>
      <c r="I278" s="490"/>
      <c r="J278" s="490"/>
      <c r="K278" s="490"/>
      <c r="L278" s="490"/>
      <c r="M278" s="490"/>
      <c r="N278" s="490"/>
      <c r="O278" s="490"/>
    </row>
    <row r="279" spans="1:15" ht="12.75" customHeight="1">
      <c r="A279" s="426"/>
      <c r="B279" s="426"/>
      <c r="C279" s="426"/>
      <c r="D279" s="426"/>
      <c r="E279" s="426"/>
      <c r="F279" s="490"/>
      <c r="G279" s="490"/>
      <c r="H279" s="490"/>
      <c r="I279" s="490"/>
      <c r="J279" s="490"/>
      <c r="K279" s="490"/>
      <c r="L279" s="490"/>
      <c r="M279" s="490"/>
      <c r="N279" s="490"/>
      <c r="O279" s="490"/>
    </row>
    <row r="280" spans="1:15" ht="12.75" customHeight="1">
      <c r="A280" s="426"/>
      <c r="B280" s="426"/>
      <c r="C280" s="426"/>
      <c r="D280" s="426"/>
      <c r="E280" s="426"/>
      <c r="F280" s="490"/>
      <c r="G280" s="490"/>
      <c r="H280" s="490"/>
      <c r="I280" s="490"/>
      <c r="J280" s="490"/>
      <c r="K280" s="490"/>
      <c r="L280" s="490"/>
      <c r="M280" s="490"/>
      <c r="N280" s="490"/>
      <c r="O280" s="490"/>
    </row>
    <row r="281" spans="1:15" ht="12.75" customHeight="1">
      <c r="A281" s="426"/>
      <c r="B281" s="426"/>
      <c r="C281" s="426"/>
      <c r="D281" s="426"/>
      <c r="E281" s="426"/>
      <c r="F281" s="490"/>
      <c r="G281" s="490"/>
      <c r="H281" s="490"/>
      <c r="I281" s="490"/>
      <c r="J281" s="490"/>
      <c r="K281" s="490"/>
      <c r="L281" s="490"/>
      <c r="M281" s="490"/>
      <c r="N281" s="490"/>
      <c r="O281" s="490"/>
    </row>
    <row r="282" spans="1:15" ht="12.75" customHeight="1">
      <c r="A282" s="426"/>
      <c r="B282" s="426"/>
      <c r="C282" s="426"/>
      <c r="D282" s="426"/>
      <c r="E282" s="426"/>
      <c r="F282" s="490"/>
      <c r="G282" s="490"/>
      <c r="H282" s="490"/>
      <c r="I282" s="490"/>
      <c r="J282" s="490"/>
      <c r="K282" s="490"/>
      <c r="L282" s="490"/>
      <c r="M282" s="490"/>
      <c r="N282" s="490"/>
      <c r="O282" s="490"/>
    </row>
    <row r="283" spans="1:15" ht="12.75" customHeight="1">
      <c r="A283" s="426"/>
      <c r="B283" s="426"/>
      <c r="C283" s="426"/>
      <c r="D283" s="426"/>
      <c r="E283" s="426"/>
      <c r="F283" s="490"/>
      <c r="G283" s="490"/>
      <c r="H283" s="490"/>
      <c r="I283" s="490"/>
      <c r="J283" s="490"/>
      <c r="K283" s="490"/>
      <c r="L283" s="490"/>
      <c r="M283" s="490"/>
      <c r="N283" s="490"/>
      <c r="O283" s="490"/>
    </row>
    <row r="284" spans="1:15" ht="12.75" customHeight="1">
      <c r="A284" s="426"/>
      <c r="B284" s="426"/>
      <c r="C284" s="426"/>
      <c r="D284" s="426"/>
      <c r="E284" s="426"/>
      <c r="F284" s="490"/>
      <c r="G284" s="490"/>
      <c r="H284" s="490"/>
      <c r="I284" s="490"/>
      <c r="J284" s="490"/>
      <c r="K284" s="490"/>
      <c r="L284" s="490"/>
      <c r="M284" s="490"/>
      <c r="N284" s="490"/>
      <c r="O284" s="490"/>
    </row>
    <row r="285" spans="1:15" ht="12.75" customHeight="1">
      <c r="A285" s="426"/>
      <c r="B285" s="426"/>
      <c r="C285" s="426"/>
      <c r="D285" s="426"/>
      <c r="E285" s="426"/>
      <c r="F285" s="490"/>
      <c r="G285" s="490"/>
      <c r="H285" s="490"/>
      <c r="I285" s="490"/>
      <c r="J285" s="490"/>
      <c r="K285" s="490"/>
      <c r="L285" s="490"/>
      <c r="M285" s="490"/>
      <c r="N285" s="490"/>
      <c r="O285" s="490"/>
    </row>
    <row r="286" spans="1:15" ht="12.75" customHeight="1">
      <c r="A286" s="426"/>
      <c r="B286" s="426"/>
      <c r="C286" s="426"/>
      <c r="D286" s="426"/>
      <c r="E286" s="426"/>
      <c r="F286" s="490"/>
      <c r="G286" s="490"/>
      <c r="H286" s="490"/>
      <c r="I286" s="490"/>
      <c r="J286" s="490"/>
      <c r="K286" s="490"/>
      <c r="L286" s="490"/>
      <c r="M286" s="490"/>
      <c r="N286" s="490"/>
      <c r="O286" s="490"/>
    </row>
    <row r="287" spans="1:15" ht="12.75" customHeight="1">
      <c r="A287" s="426"/>
      <c r="B287" s="426"/>
      <c r="C287" s="426"/>
      <c r="D287" s="426"/>
      <c r="E287" s="426"/>
      <c r="F287" s="490"/>
      <c r="G287" s="490"/>
      <c r="H287" s="490"/>
      <c r="I287" s="490"/>
      <c r="J287" s="490"/>
      <c r="K287" s="490"/>
      <c r="L287" s="490"/>
      <c r="M287" s="490"/>
      <c r="N287" s="490"/>
      <c r="O287" s="490"/>
    </row>
    <row r="288" spans="1:15" ht="12.75" customHeight="1">
      <c r="A288" s="426"/>
      <c r="B288" s="426"/>
      <c r="C288" s="426"/>
      <c r="D288" s="426"/>
      <c r="E288" s="426"/>
      <c r="F288" s="490"/>
      <c r="G288" s="490"/>
      <c r="H288" s="490"/>
      <c r="I288" s="490"/>
      <c r="J288" s="490"/>
      <c r="K288" s="490"/>
      <c r="L288" s="490"/>
      <c r="M288" s="490"/>
      <c r="N288" s="490"/>
      <c r="O288" s="490"/>
    </row>
    <row r="289" spans="1:15" ht="12.75" customHeight="1">
      <c r="A289" s="426"/>
      <c r="B289" s="426"/>
      <c r="C289" s="426"/>
      <c r="D289" s="426"/>
      <c r="E289" s="426"/>
      <c r="F289" s="490"/>
      <c r="G289" s="490"/>
      <c r="H289" s="490"/>
      <c r="I289" s="490"/>
      <c r="J289" s="490"/>
      <c r="K289" s="490"/>
      <c r="L289" s="490"/>
      <c r="M289" s="490"/>
      <c r="N289" s="490"/>
      <c r="O289" s="490"/>
    </row>
    <row r="290" spans="1:15" ht="12.75" customHeight="1">
      <c r="A290" s="426"/>
      <c r="B290" s="426"/>
      <c r="C290" s="426"/>
      <c r="D290" s="426"/>
      <c r="E290" s="426"/>
      <c r="F290" s="490"/>
      <c r="G290" s="490"/>
      <c r="H290" s="490"/>
      <c r="I290" s="490"/>
      <c r="J290" s="490"/>
      <c r="K290" s="490"/>
      <c r="L290" s="490"/>
      <c r="M290" s="490"/>
      <c r="N290" s="490"/>
      <c r="O290" s="490"/>
    </row>
    <row r="291" spans="1:15" ht="12.75" customHeight="1">
      <c r="A291" s="426"/>
      <c r="B291" s="426"/>
      <c r="C291" s="426"/>
      <c r="D291" s="426"/>
      <c r="E291" s="426"/>
      <c r="F291" s="490"/>
      <c r="G291" s="490"/>
      <c r="H291" s="490"/>
      <c r="I291" s="490"/>
      <c r="J291" s="490"/>
      <c r="K291" s="490"/>
      <c r="L291" s="490"/>
      <c r="M291" s="490"/>
      <c r="N291" s="490"/>
      <c r="O291" s="490"/>
    </row>
    <row r="292" spans="1:15" ht="12.75" customHeight="1">
      <c r="A292" s="426"/>
      <c r="B292" s="426"/>
      <c r="C292" s="426"/>
      <c r="D292" s="426"/>
      <c r="E292" s="426"/>
      <c r="F292" s="490"/>
      <c r="G292" s="490"/>
      <c r="H292" s="490"/>
      <c r="I292" s="490"/>
      <c r="J292" s="490"/>
      <c r="K292" s="490"/>
      <c r="L292" s="490"/>
      <c r="M292" s="490"/>
      <c r="N292" s="490"/>
      <c r="O292" s="490"/>
    </row>
    <row r="293" spans="1:15" ht="12.75" customHeight="1">
      <c r="A293" s="426"/>
      <c r="B293" s="426"/>
      <c r="C293" s="426"/>
      <c r="D293" s="426"/>
      <c r="E293" s="426"/>
      <c r="F293" s="490"/>
      <c r="G293" s="490"/>
      <c r="H293" s="490"/>
      <c r="I293" s="490"/>
      <c r="J293" s="490"/>
      <c r="K293" s="490"/>
      <c r="L293" s="490"/>
      <c r="M293" s="490"/>
      <c r="N293" s="490"/>
      <c r="O293" s="490"/>
    </row>
    <row r="294" spans="1:15" ht="12.75" customHeight="1">
      <c r="A294" s="426"/>
      <c r="B294" s="426"/>
      <c r="C294" s="426"/>
      <c r="D294" s="426"/>
      <c r="E294" s="426"/>
      <c r="F294" s="490"/>
      <c r="G294" s="490"/>
      <c r="H294" s="490"/>
      <c r="I294" s="490"/>
      <c r="J294" s="490"/>
      <c r="K294" s="490"/>
      <c r="L294" s="490"/>
      <c r="M294" s="490"/>
      <c r="N294" s="490"/>
      <c r="O294" s="490"/>
    </row>
    <row r="295" spans="1:15" ht="15.75" customHeight="1"/>
    <row r="296" spans="1:15" ht="15.75" customHeight="1"/>
    <row r="297" spans="1:15" ht="15.75" customHeight="1"/>
    <row r="298" spans="1:15" ht="15.75" customHeight="1"/>
    <row r="299" spans="1:15" ht="15.75" customHeight="1"/>
    <row r="300" spans="1:15" ht="15.75" customHeight="1"/>
    <row r="301" spans="1:15" ht="15.75" customHeight="1"/>
    <row r="302" spans="1:15" ht="15.75" customHeight="1"/>
    <row r="303" spans="1:15" ht="15.75" customHeight="1"/>
    <row r="304" spans="1:15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B83:D83"/>
    <mergeCell ref="B89:D89"/>
    <mergeCell ref="C28:C29"/>
    <mergeCell ref="E28:E29"/>
    <mergeCell ref="F28:F29"/>
    <mergeCell ref="B31:D31"/>
    <mergeCell ref="B47:D47"/>
    <mergeCell ref="B54:D54"/>
    <mergeCell ref="B82:D82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9:E9"/>
    <mergeCell ref="C11:E11"/>
    <mergeCell ref="C12:E12"/>
    <mergeCell ref="C13:E13"/>
    <mergeCell ref="C14:E14"/>
  </mergeCells>
  <conditionalFormatting sqref="C21:C23">
    <cfRule type="containsBlanks" dxfId="134" priority="9">
      <formula>LEN(TRIM(C21))=0</formula>
    </cfRule>
  </conditionalFormatting>
  <conditionalFormatting sqref="C11:E14 C15:C19">
    <cfRule type="containsBlanks" dxfId="133" priority="1">
      <formula>LEN(TRIM(C11))=0</formula>
    </cfRule>
  </conditionalFormatting>
  <conditionalFormatting sqref="C43:F43 H43:T43 G43:G44">
    <cfRule type="cellIs" dxfId="132" priority="21" operator="equal">
      <formula>0</formula>
    </cfRule>
  </conditionalFormatting>
  <conditionalFormatting sqref="C43:I43 C41:O41">
    <cfRule type="cellIs" dxfId="131" priority="23" operator="equal">
      <formula>0</formula>
    </cfRule>
  </conditionalFormatting>
  <conditionalFormatting sqref="C39:O39">
    <cfRule type="cellIs" dxfId="130" priority="20" operator="equal">
      <formula>0</formula>
    </cfRule>
  </conditionalFormatting>
  <conditionalFormatting sqref="C44:O44">
    <cfRule type="cellIs" dxfId="129" priority="22" operator="equal">
      <formula>0</formula>
    </cfRule>
  </conditionalFormatting>
  <conditionalFormatting sqref="D33:D96 C44 C64:C65 E64:I71 C70 C77 C92">
    <cfRule type="expression" dxfId="128" priority="31">
      <formula>"d92*1"</formula>
    </cfRule>
  </conditionalFormatting>
  <conditionalFormatting sqref="D33:I45 C33:C95 D49:I52 D56:I81 E84:I87 D84:D88 D91:I94">
    <cfRule type="expression" dxfId="127" priority="30">
      <formula>"C92=0"</formula>
    </cfRule>
  </conditionalFormatting>
  <conditionalFormatting sqref="F33:I94 E33:E96 C43:D44 C65:D65">
    <cfRule type="expression" dxfId="126" priority="32">
      <formula>"E92=0"</formula>
    </cfRule>
  </conditionalFormatting>
  <conditionalFormatting sqref="G28">
    <cfRule type="cellIs" dxfId="125" priority="18" operator="equal">
      <formula>"FALSE"</formula>
    </cfRule>
  </conditionalFormatting>
  <conditionalFormatting sqref="G28:G29">
    <cfRule type="cellIs" dxfId="124" priority="17" operator="equal">
      <formula>"FALSE"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scale="3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CONTRATANTE" xr:uid="{00000000-0002-0000-0300-000000000000}">
          <x14:formula1>
            <xm:f>'CAMPUS.CONTRATANTE'!$D$10:$D$24</xm:f>
          </x14:formula1>
          <xm:sqref>C14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R997"/>
  <sheetViews>
    <sheetView workbookViewId="0"/>
  </sheetViews>
  <sheetFormatPr defaultColWidth="14.453125" defaultRowHeight="15" customHeight="1"/>
  <cols>
    <col min="1" max="1" width="1.7265625" customWidth="1"/>
    <col min="2" max="2" width="10.08984375" customWidth="1"/>
    <col min="3" max="3" width="53.7265625" customWidth="1"/>
    <col min="4" max="4" width="19.08984375" customWidth="1"/>
    <col min="5" max="7" width="22.26953125" customWidth="1"/>
    <col min="8" max="8" width="22.26953125" hidden="1" customWidth="1"/>
    <col min="9" max="10" width="21.7265625" customWidth="1"/>
    <col min="11" max="11" width="25.81640625" hidden="1" customWidth="1"/>
    <col min="12" max="12" width="15.26953125" customWidth="1"/>
    <col min="13" max="13" width="22.453125" customWidth="1"/>
    <col min="14" max="14" width="28.453125" customWidth="1"/>
    <col min="15" max="15" width="25.7265625" hidden="1" customWidth="1"/>
    <col min="16" max="16" width="25.7265625" customWidth="1"/>
    <col min="17" max="17" width="33.453125" hidden="1" customWidth="1"/>
    <col min="18" max="18" width="17.453125" customWidth="1"/>
  </cols>
  <sheetData>
    <row r="1" spans="1:18" ht="47.25" customHeight="1">
      <c r="A1" s="582" t="b">
        <v>1</v>
      </c>
      <c r="B1" s="583"/>
      <c r="C1" s="583"/>
      <c r="D1" s="583"/>
      <c r="E1" s="583"/>
      <c r="F1" s="584"/>
      <c r="G1" s="585"/>
      <c r="H1" s="586"/>
      <c r="I1" s="587"/>
      <c r="J1" s="588"/>
      <c r="K1" s="588"/>
      <c r="L1" s="584"/>
      <c r="M1" s="584"/>
      <c r="N1" s="586"/>
      <c r="O1" s="587"/>
      <c r="P1" s="588"/>
      <c r="Q1" s="588"/>
      <c r="R1" s="584"/>
    </row>
    <row r="2" spans="1:18" ht="40.5" customHeight="1">
      <c r="A2" s="589" t="s">
        <v>257</v>
      </c>
      <c r="B2" s="1536" t="s">
        <v>258</v>
      </c>
      <c r="C2" s="1456"/>
      <c r="D2" s="1456"/>
      <c r="E2" s="1456"/>
      <c r="F2" s="1456"/>
      <c r="G2" s="1456"/>
      <c r="H2" s="1456"/>
      <c r="I2" s="1456"/>
      <c r="J2" s="1456"/>
      <c r="K2" s="1456"/>
      <c r="L2" s="1456"/>
      <c r="M2" s="1456"/>
      <c r="N2" s="1475"/>
      <c r="O2" s="587"/>
      <c r="P2" s="588"/>
      <c r="Q2" s="588"/>
      <c r="R2" s="584"/>
    </row>
    <row r="3" spans="1:18" ht="34.5" customHeight="1">
      <c r="A3" s="589" t="s">
        <v>257</v>
      </c>
      <c r="B3" s="590"/>
      <c r="C3" s="589" t="s">
        <v>111</v>
      </c>
      <c r="D3" s="13"/>
      <c r="E3" s="13"/>
      <c r="F3" s="13"/>
      <c r="G3" s="591"/>
      <c r="H3" s="592"/>
      <c r="I3" s="593"/>
      <c r="J3" s="594"/>
      <c r="K3" s="594"/>
      <c r="L3" s="13"/>
      <c r="M3" s="13"/>
      <c r="N3" s="592"/>
      <c r="O3" s="587"/>
      <c r="P3" s="588"/>
      <c r="Q3" s="588"/>
      <c r="R3" s="584"/>
    </row>
    <row r="4" spans="1:18" ht="24.75" customHeight="1">
      <c r="A4" s="589" t="s">
        <v>257</v>
      </c>
      <c r="B4" s="1537" t="b">
        <v>1</v>
      </c>
      <c r="C4" s="1419"/>
      <c r="D4" s="595" t="str">
        <f>'1-ABA-DE-CARREGAMENTO'!C14</f>
        <v>PANAMBI__PB</v>
      </c>
      <c r="E4" s="595"/>
      <c r="F4" s="595"/>
      <c r="G4" s="596"/>
      <c r="H4" s="597"/>
      <c r="I4" s="598"/>
      <c r="J4" s="599"/>
      <c r="K4" s="599"/>
      <c r="L4" s="595"/>
      <c r="M4" s="595"/>
      <c r="N4" s="597"/>
      <c r="O4" s="587"/>
      <c r="P4" s="588"/>
      <c r="Q4" s="588"/>
      <c r="R4" s="584"/>
    </row>
    <row r="5" spans="1:18" ht="16.5" customHeight="1">
      <c r="A5" s="589" t="s">
        <v>257</v>
      </c>
      <c r="C5" s="13"/>
      <c r="D5" s="600"/>
      <c r="E5" s="600"/>
      <c r="F5" s="600"/>
      <c r="G5" s="601"/>
      <c r="H5" s="602"/>
      <c r="I5" s="603"/>
      <c r="J5" s="604"/>
      <c r="K5" s="604"/>
      <c r="L5" s="600"/>
      <c r="M5" s="600"/>
      <c r="N5" s="602"/>
      <c r="O5" s="587"/>
      <c r="P5" s="588"/>
      <c r="Q5" s="588"/>
      <c r="R5" s="584"/>
    </row>
    <row r="6" spans="1:18" ht="20.25" customHeight="1">
      <c r="A6" s="589" t="s">
        <v>257</v>
      </c>
      <c r="B6" s="1538" t="s">
        <v>195</v>
      </c>
      <c r="C6" s="1539"/>
      <c r="D6" s="1540">
        <f>'1-ABA-DE-CARREGAMENTO'!C17</f>
        <v>0</v>
      </c>
      <c r="E6" s="1419"/>
      <c r="F6" s="1419"/>
      <c r="G6" s="1419"/>
      <c r="H6" s="605"/>
      <c r="I6" s="606"/>
      <c r="J6" s="607" t="s">
        <v>259</v>
      </c>
      <c r="K6" s="608"/>
      <c r="L6" s="1540">
        <f>'1-ABA-DE-CARREGAMENTO'!C18</f>
        <v>0</v>
      </c>
      <c r="M6" s="1419"/>
      <c r="N6" s="1419"/>
      <c r="O6" s="587"/>
      <c r="P6" s="588"/>
      <c r="Q6" s="588"/>
      <c r="R6" s="584"/>
    </row>
    <row r="7" spans="1:18" ht="20.25" customHeight="1">
      <c r="A7" s="589" t="s">
        <v>257</v>
      </c>
      <c r="B7" s="1538" t="s">
        <v>260</v>
      </c>
      <c r="C7" s="1419"/>
      <c r="D7" s="1541">
        <f>'1-ABA-DE-CARREGAMENTO'!C15</f>
        <v>0</v>
      </c>
      <c r="E7" s="1419"/>
      <c r="F7" s="1419"/>
      <c r="G7" s="1419"/>
      <c r="H7" s="1419"/>
      <c r="I7" s="1419"/>
      <c r="J7" s="1419"/>
      <c r="K7" s="1419"/>
      <c r="L7" s="1419"/>
      <c r="M7" s="1419"/>
      <c r="N7" s="1419"/>
      <c r="O7" s="587"/>
      <c r="P7" s="588"/>
      <c r="Q7" s="588"/>
      <c r="R7" s="584"/>
    </row>
    <row r="8" spans="1:18" ht="20.25" customHeight="1">
      <c r="A8" s="589" t="s">
        <v>257</v>
      </c>
      <c r="B8" s="1538" t="s">
        <v>261</v>
      </c>
      <c r="C8" s="1419"/>
      <c r="D8" s="1541">
        <f>'1-ABA-DE-CARREGAMENTO'!C19</f>
        <v>0</v>
      </c>
      <c r="E8" s="1419"/>
      <c r="F8" s="1419"/>
      <c r="G8" s="1419"/>
      <c r="H8" s="609"/>
      <c r="I8" s="610"/>
      <c r="J8" s="1546"/>
      <c r="K8" s="1419"/>
      <c r="L8" s="1419"/>
      <c r="M8" s="1419"/>
      <c r="N8" s="1419"/>
      <c r="O8" s="587"/>
      <c r="P8" s="588"/>
      <c r="Q8" s="588"/>
      <c r="R8" s="584"/>
    </row>
    <row r="9" spans="1:18" ht="20.25" customHeight="1">
      <c r="A9" s="589" t="s">
        <v>257</v>
      </c>
      <c r="B9" s="1538" t="s">
        <v>262</v>
      </c>
      <c r="C9" s="1539"/>
      <c r="D9" s="1541">
        <f>'1-ABA-DE-CARREGAMENTO'!C21</f>
        <v>0</v>
      </c>
      <c r="E9" s="1419"/>
      <c r="F9" s="1419"/>
      <c r="G9" s="1419"/>
      <c r="H9" s="605"/>
      <c r="I9" s="606"/>
      <c r="J9" s="607" t="s">
        <v>263</v>
      </c>
      <c r="K9" s="611"/>
      <c r="L9" s="1547">
        <f>'1-ABA-DE-CARREGAMENTO'!C22</f>
        <v>0</v>
      </c>
      <c r="M9" s="1477"/>
      <c r="N9" s="1478"/>
      <c r="O9" s="587"/>
      <c r="P9" s="588"/>
      <c r="Q9" s="588"/>
      <c r="R9" s="584"/>
    </row>
    <row r="10" spans="1:18" ht="14.5">
      <c r="A10" s="589" t="s">
        <v>257</v>
      </c>
      <c r="B10" s="1538" t="s">
        <v>264</v>
      </c>
      <c r="C10" s="1539"/>
      <c r="D10" s="1542">
        <f>'1-ABA-DE-CARREGAMENTO'!C16</f>
        <v>0</v>
      </c>
      <c r="E10" s="1419"/>
      <c r="F10" s="1419"/>
      <c r="G10" s="1419"/>
      <c r="H10" s="586"/>
      <c r="I10" s="587"/>
      <c r="J10" s="588"/>
      <c r="K10" s="588"/>
      <c r="L10" s="584"/>
      <c r="M10" s="584"/>
      <c r="N10" s="586"/>
      <c r="O10" s="587"/>
      <c r="P10" s="588"/>
      <c r="Q10" s="588"/>
      <c r="R10" s="584"/>
    </row>
    <row r="11" spans="1:18" ht="21.75" customHeight="1">
      <c r="A11" s="589" t="s">
        <v>257</v>
      </c>
      <c r="C11" s="584"/>
      <c r="D11" s="584"/>
      <c r="E11" s="584"/>
      <c r="F11" s="584"/>
      <c r="G11" s="585"/>
      <c r="H11" s="586"/>
      <c r="I11" s="587"/>
      <c r="J11" s="588"/>
      <c r="K11" s="588"/>
      <c r="L11" s="584"/>
      <c r="M11" s="584"/>
      <c r="N11" s="586"/>
      <c r="O11" s="587"/>
      <c r="P11" s="588"/>
      <c r="Q11" s="588"/>
      <c r="R11" s="584"/>
    </row>
    <row r="12" spans="1:18" ht="21.75" customHeight="1">
      <c r="A12" s="589" t="s">
        <v>257</v>
      </c>
      <c r="C12" s="1543" t="str">
        <f>'1-ABA-DE-CARREGAMENTO'!C11</f>
        <v xml:space="preserve">S E R V I Ç O S     =    CUIDADOR - INSTRUTOR - PSICOPEDAGOGO - MONITOR </v>
      </c>
      <c r="D12" s="1477"/>
      <c r="E12" s="1477"/>
      <c r="F12" s="1477"/>
      <c r="G12" s="1477"/>
      <c r="H12" s="1477"/>
      <c r="I12" s="1477"/>
      <c r="J12" s="1477"/>
      <c r="K12" s="1477"/>
      <c r="L12" s="1477"/>
      <c r="M12" s="1477"/>
      <c r="N12" s="1478"/>
      <c r="O12" s="587"/>
      <c r="P12" s="588"/>
      <c r="Q12" s="588"/>
      <c r="R12" s="584"/>
    </row>
    <row r="13" spans="1:18" ht="85.5" customHeight="1">
      <c r="A13" s="589" t="s">
        <v>257</v>
      </c>
      <c r="B13" s="612"/>
      <c r="C13" s="613" t="s">
        <v>265</v>
      </c>
      <c r="D13" s="614" t="s">
        <v>266</v>
      </c>
      <c r="E13" s="614" t="s">
        <v>267</v>
      </c>
      <c r="F13" s="614" t="s">
        <v>268</v>
      </c>
      <c r="G13" s="615" t="s">
        <v>269</v>
      </c>
      <c r="H13" s="616" t="s">
        <v>270</v>
      </c>
      <c r="I13" s="617" t="s">
        <v>271</v>
      </c>
      <c r="J13" s="618" t="s">
        <v>272</v>
      </c>
      <c r="K13" s="619" t="s">
        <v>273</v>
      </c>
      <c r="L13" s="620" t="s">
        <v>274</v>
      </c>
      <c r="M13" s="621" t="s">
        <v>275</v>
      </c>
      <c r="N13" s="622" t="s">
        <v>276</v>
      </c>
      <c r="O13" s="617" t="s">
        <v>277</v>
      </c>
      <c r="P13" s="619" t="s">
        <v>278</v>
      </c>
      <c r="Q13" s="619" t="s">
        <v>279</v>
      </c>
      <c r="R13" s="584"/>
    </row>
    <row r="14" spans="1:18" ht="33" hidden="1" customHeight="1">
      <c r="A14" s="589" t="s">
        <v>257</v>
      </c>
      <c r="B14" s="1544" t="s">
        <v>280</v>
      </c>
      <c r="C14" s="623" t="str">
        <f>'1-ABA-DE-CARREGAMENTO'!C33</f>
        <v>5162_20_CUIDADOR-de-ALUNOS_40h</v>
      </c>
      <c r="D14" s="624">
        <f>'1-ABA-DE-CARREGAMENTO'!C52</f>
        <v>200</v>
      </c>
      <c r="E14" s="625">
        <f>'1-ABA-DE-CARREGAMENTO'!C92</f>
        <v>0</v>
      </c>
      <c r="F14" s="625">
        <f>'1-ABA-DE-CARREGAMENTO'!C93</f>
        <v>1</v>
      </c>
      <c r="G14" s="626">
        <f>'5162_20_CUIDADOR-de-ALUNOS_40h'!F344</f>
        <v>7024.09</v>
      </c>
      <c r="H14" s="627">
        <f t="shared" ref="H14:H20" si="0">G14*F14</f>
        <v>7024.09</v>
      </c>
      <c r="I14" s="628">
        <f t="shared" ref="I14:I20" si="1">H14</f>
        <v>7024.09</v>
      </c>
      <c r="J14" s="629">
        <f t="shared" ref="J14:J20" si="2">H14*E14</f>
        <v>0</v>
      </c>
      <c r="K14" s="628">
        <f t="shared" ref="K14:K20" si="3">J14</f>
        <v>0</v>
      </c>
      <c r="L14" s="630">
        <f>'1-ABA-DE-CARREGAMENTO'!C94</f>
        <v>30</v>
      </c>
      <c r="M14" s="631">
        <f t="shared" ref="M14:M20" si="4">L14*E14</f>
        <v>0</v>
      </c>
      <c r="N14" s="632">
        <f t="shared" ref="N14:N20" si="5">J14*12</f>
        <v>0</v>
      </c>
      <c r="O14" s="633">
        <f t="shared" ref="O14:O20" si="6">N14</f>
        <v>0</v>
      </c>
      <c r="P14" s="634">
        <f t="shared" ref="P14:P20" si="7">J14*L14</f>
        <v>0</v>
      </c>
      <c r="Q14" s="635">
        <f t="shared" ref="Q14:Q22" si="8">P14</f>
        <v>0</v>
      </c>
      <c r="R14" s="636"/>
    </row>
    <row r="15" spans="1:18" ht="33" hidden="1" customHeight="1">
      <c r="A15" s="589" t="s">
        <v>257</v>
      </c>
      <c r="B15" s="1509"/>
      <c r="C15" s="637" t="str">
        <f>'1-ABA-DE-CARREGAMENTO'!D33</f>
        <v>5162_20_CUIDADOR-de-ALUNOS_20h</v>
      </c>
      <c r="D15" s="638">
        <f>'1-ABA-DE-CARREGAMENTO'!D52</f>
        <v>100</v>
      </c>
      <c r="E15" s="639">
        <f>'1-ABA-DE-CARREGAMENTO'!D92</f>
        <v>0</v>
      </c>
      <c r="F15" s="639">
        <f>'1-ABA-DE-CARREGAMENTO'!D93</f>
        <v>1</v>
      </c>
      <c r="G15" s="640">
        <f>'5162_20_CUIDADOR-de-ALUNOS_20h'!F344</f>
        <v>3706.49</v>
      </c>
      <c r="H15" s="632">
        <f t="shared" si="0"/>
        <v>3706.49</v>
      </c>
      <c r="I15" s="641">
        <f t="shared" si="1"/>
        <v>3706.49</v>
      </c>
      <c r="J15" s="642">
        <f t="shared" si="2"/>
        <v>0</v>
      </c>
      <c r="K15" s="641">
        <f t="shared" si="3"/>
        <v>0</v>
      </c>
      <c r="L15" s="643">
        <f>'1-ABA-DE-CARREGAMENTO'!D94</f>
        <v>30</v>
      </c>
      <c r="M15" s="644">
        <f t="shared" si="4"/>
        <v>0</v>
      </c>
      <c r="N15" s="632">
        <f t="shared" si="5"/>
        <v>0</v>
      </c>
      <c r="O15" s="633">
        <f t="shared" si="6"/>
        <v>0</v>
      </c>
      <c r="P15" s="634">
        <f t="shared" si="7"/>
        <v>0</v>
      </c>
      <c r="Q15" s="635">
        <f t="shared" si="8"/>
        <v>0</v>
      </c>
      <c r="R15" s="645"/>
    </row>
    <row r="16" spans="1:18" ht="33" customHeight="1">
      <c r="A16" s="589" t="s">
        <v>257</v>
      </c>
      <c r="B16" s="1509"/>
      <c r="C16" s="637" t="str">
        <f>'1-ABA-DE-CARREGAMENTO'!E33</f>
        <v>3341-05_INSTRUTOR-de-ALUNOS_40hs</v>
      </c>
      <c r="D16" s="638">
        <f>'1-ABA-DE-CARREGAMENTO'!E52</f>
        <v>200</v>
      </c>
      <c r="E16" s="639">
        <f>'1-ABA-DE-CARREGAMENTO'!E92</f>
        <v>3</v>
      </c>
      <c r="F16" s="639">
        <f>'1-ABA-DE-CARREGAMENTO'!E93</f>
        <v>1</v>
      </c>
      <c r="G16" s="640">
        <f>'3341-05_INSTRUTOR-de-ALUNOS_40h'!F344</f>
        <v>5899.24</v>
      </c>
      <c r="H16" s="632">
        <f t="shared" si="0"/>
        <v>5899.24</v>
      </c>
      <c r="I16" s="641">
        <f t="shared" si="1"/>
        <v>5899.24</v>
      </c>
      <c r="J16" s="642">
        <f t="shared" si="2"/>
        <v>17697.72</v>
      </c>
      <c r="K16" s="641">
        <f t="shared" si="3"/>
        <v>17697.72</v>
      </c>
      <c r="L16" s="643">
        <f t="shared" ref="L16:L20" si="9">L15</f>
        <v>30</v>
      </c>
      <c r="M16" s="644">
        <f t="shared" si="4"/>
        <v>90</v>
      </c>
      <c r="N16" s="632">
        <f t="shared" si="5"/>
        <v>212372.64</v>
      </c>
      <c r="O16" s="633">
        <f t="shared" si="6"/>
        <v>212372.64</v>
      </c>
      <c r="P16" s="634">
        <f t="shared" si="7"/>
        <v>530931.60000000009</v>
      </c>
      <c r="Q16" s="635">
        <f t="shared" si="8"/>
        <v>530931.60000000009</v>
      </c>
      <c r="R16" s="636"/>
    </row>
    <row r="17" spans="1:18" ht="33" hidden="1" customHeight="1">
      <c r="A17" s="589"/>
      <c r="B17" s="1509"/>
      <c r="C17" s="637" t="str">
        <f>'1-ABA-DE-CARREGAMENTO'!F33</f>
        <v>3341-05_INSTRUTOR-de-ALUNOS_20hs</v>
      </c>
      <c r="D17" s="638">
        <f>'1-ABA-DE-CARREGAMENTO'!F52</f>
        <v>100</v>
      </c>
      <c r="E17" s="639">
        <f>'1-ABA-DE-CARREGAMENTO'!F92</f>
        <v>0</v>
      </c>
      <c r="F17" s="639">
        <f>'1-ABA-DE-CARREGAMENTO'!F93</f>
        <v>1</v>
      </c>
      <c r="G17" s="646">
        <f>'3341-05_INSTRUTOR-de-ALUNOS_20h'!F344</f>
        <v>2934.4300000000003</v>
      </c>
      <c r="H17" s="632">
        <f t="shared" si="0"/>
        <v>2934.4300000000003</v>
      </c>
      <c r="I17" s="647">
        <f t="shared" si="1"/>
        <v>2934.4300000000003</v>
      </c>
      <c r="J17" s="642">
        <f t="shared" si="2"/>
        <v>0</v>
      </c>
      <c r="K17" s="641">
        <f t="shared" si="3"/>
        <v>0</v>
      </c>
      <c r="L17" s="643">
        <f t="shared" si="9"/>
        <v>30</v>
      </c>
      <c r="M17" s="644">
        <f t="shared" si="4"/>
        <v>0</v>
      </c>
      <c r="N17" s="632">
        <f t="shared" si="5"/>
        <v>0</v>
      </c>
      <c r="O17" s="633">
        <f t="shared" si="6"/>
        <v>0</v>
      </c>
      <c r="P17" s="634">
        <f t="shared" si="7"/>
        <v>0</v>
      </c>
      <c r="Q17" s="635">
        <f t="shared" si="8"/>
        <v>0</v>
      </c>
      <c r="R17" s="636"/>
    </row>
    <row r="18" spans="1:18" ht="33" customHeight="1">
      <c r="A18" s="589" t="s">
        <v>257</v>
      </c>
      <c r="B18" s="1509"/>
      <c r="C18" s="648" t="str">
        <f>'1-ABA-DE-CARREGAMENTO'!G33</f>
        <v>2394-25_PSICOPEGAGOGO_40h</v>
      </c>
      <c r="D18" s="649">
        <f>'1-ABA-DE-CARREGAMENTO'!G52</f>
        <v>200</v>
      </c>
      <c r="E18" s="650">
        <f>'1-ABA-DE-CARREGAMENTO'!G92</f>
        <v>1</v>
      </c>
      <c r="F18" s="650">
        <f>'1-ABA-DE-CARREGAMENTO'!G93</f>
        <v>1</v>
      </c>
      <c r="G18" s="651">
        <f>'2394-25_PSICOPEGAGOGO_40h'!F344</f>
        <v>11700.68</v>
      </c>
      <c r="H18" s="652">
        <f t="shared" si="0"/>
        <v>11700.68</v>
      </c>
      <c r="I18" s="653">
        <f t="shared" si="1"/>
        <v>11700.68</v>
      </c>
      <c r="J18" s="654">
        <f t="shared" si="2"/>
        <v>11700.68</v>
      </c>
      <c r="K18" s="647">
        <f t="shared" si="3"/>
        <v>11700.68</v>
      </c>
      <c r="L18" s="655">
        <f t="shared" si="9"/>
        <v>30</v>
      </c>
      <c r="M18" s="656">
        <f t="shared" si="4"/>
        <v>30</v>
      </c>
      <c r="N18" s="652">
        <f t="shared" si="5"/>
        <v>140408.16</v>
      </c>
      <c r="O18" s="657">
        <f t="shared" si="6"/>
        <v>140408.16</v>
      </c>
      <c r="P18" s="658">
        <f t="shared" si="7"/>
        <v>351020.4</v>
      </c>
      <c r="Q18" s="635">
        <f t="shared" si="8"/>
        <v>351020.4</v>
      </c>
      <c r="R18" s="636"/>
    </row>
    <row r="19" spans="1:18" ht="33" customHeight="1">
      <c r="A19" s="589" t="s">
        <v>257</v>
      </c>
      <c r="B19" s="1509"/>
      <c r="C19" s="648" t="str">
        <f>'1-ABA-DE-CARREGAMENTO'!H33</f>
        <v>2394-25_PSICOPEGAGOGO_20h</v>
      </c>
      <c r="D19" s="649">
        <f>'1-ABA-DE-CARREGAMENTO'!H52</f>
        <v>100</v>
      </c>
      <c r="E19" s="650">
        <f>'1-ABA-DE-CARREGAMENTO'!H92</f>
        <v>1</v>
      </c>
      <c r="F19" s="650">
        <f>'1-ABA-DE-CARREGAMENTO'!H93</f>
        <v>1</v>
      </c>
      <c r="G19" s="646">
        <f>'2394-25_PSICOPEGAGOGO_20h'!F344</f>
        <v>5861.0400000000009</v>
      </c>
      <c r="H19" s="652">
        <f t="shared" si="0"/>
        <v>5861.0400000000009</v>
      </c>
      <c r="I19" s="653">
        <f t="shared" si="1"/>
        <v>5861.0400000000009</v>
      </c>
      <c r="J19" s="654">
        <f t="shared" si="2"/>
        <v>5861.0400000000009</v>
      </c>
      <c r="K19" s="659">
        <f t="shared" si="3"/>
        <v>5861.0400000000009</v>
      </c>
      <c r="L19" s="655">
        <f t="shared" si="9"/>
        <v>30</v>
      </c>
      <c r="M19" s="656">
        <f t="shared" si="4"/>
        <v>30</v>
      </c>
      <c r="N19" s="652">
        <f t="shared" si="5"/>
        <v>70332.48000000001</v>
      </c>
      <c r="O19" s="657">
        <f t="shared" si="6"/>
        <v>70332.48000000001</v>
      </c>
      <c r="P19" s="658">
        <f t="shared" si="7"/>
        <v>175831.2</v>
      </c>
      <c r="Q19" s="660">
        <f t="shared" si="8"/>
        <v>175831.2</v>
      </c>
    </row>
    <row r="20" spans="1:18" ht="33" hidden="1" customHeight="1">
      <c r="A20" s="589"/>
      <c r="B20" s="1509"/>
      <c r="C20" s="648" t="str">
        <f>'1-ABA-DE-CARREGAMENTO'!I33</f>
        <v>3341-10_MONITOR-de-ALUNOS_40h</v>
      </c>
      <c r="D20" s="649">
        <f>'1-ABA-DE-CARREGAMENTO'!I52</f>
        <v>200</v>
      </c>
      <c r="E20" s="650">
        <f>'1-ABA-DE-CARREGAMENTO'!I92</f>
        <v>0</v>
      </c>
      <c r="F20" s="650">
        <f>'1-ABA-DE-CARREGAMENTO'!I93</f>
        <v>1</v>
      </c>
      <c r="G20" s="646">
        <f>'3341-10_MONITOR-de-ALUNOS_40h'!F344</f>
        <v>6057.23</v>
      </c>
      <c r="H20" s="652">
        <f t="shared" si="0"/>
        <v>6057.23</v>
      </c>
      <c r="I20" s="653">
        <f t="shared" si="1"/>
        <v>6057.23</v>
      </c>
      <c r="J20" s="654">
        <f t="shared" si="2"/>
        <v>0</v>
      </c>
      <c r="K20" s="659">
        <f t="shared" si="3"/>
        <v>0</v>
      </c>
      <c r="L20" s="655">
        <f t="shared" si="9"/>
        <v>30</v>
      </c>
      <c r="M20" s="656">
        <f t="shared" si="4"/>
        <v>0</v>
      </c>
      <c r="N20" s="652">
        <f t="shared" si="5"/>
        <v>0</v>
      </c>
      <c r="O20" s="657">
        <f t="shared" si="6"/>
        <v>0</v>
      </c>
      <c r="P20" s="658">
        <f t="shared" si="7"/>
        <v>0</v>
      </c>
      <c r="Q20" s="660">
        <f t="shared" si="8"/>
        <v>0</v>
      </c>
      <c r="R20" s="636"/>
    </row>
    <row r="21" spans="1:18" ht="33" hidden="1" customHeight="1">
      <c r="A21" s="589" t="s">
        <v>257</v>
      </c>
      <c r="B21" s="1509"/>
      <c r="C21" s="623" t="s">
        <v>281</v>
      </c>
      <c r="D21" s="624"/>
      <c r="E21" s="661" t="str">
        <f t="shared" ref="E21:E22" si="10">IF(N21&gt;1,1,"")</f>
        <v/>
      </c>
      <c r="F21" s="624">
        <v>1</v>
      </c>
      <c r="G21" s="624"/>
      <c r="H21" s="624"/>
      <c r="I21" s="624"/>
      <c r="J21" s="624"/>
      <c r="K21" s="624"/>
      <c r="L21" s="625">
        <f>'1-ABA-DE-CARREGAMENTO'!N94</f>
        <v>30</v>
      </c>
      <c r="M21" s="631">
        <f t="shared" ref="M21:M22" si="11">L21</f>
        <v>30</v>
      </c>
      <c r="N21" s="652">
        <f>VLOOKUP(D4, Estimativa_Horas_Diarias!B4:C18, 2, FALSE)</f>
        <v>0</v>
      </c>
      <c r="O21" s="662"/>
      <c r="P21" s="663">
        <f t="shared" ref="P21:P22" si="12">N21</f>
        <v>0</v>
      </c>
      <c r="Q21" s="635">
        <f t="shared" si="8"/>
        <v>0</v>
      </c>
      <c r="R21" s="636"/>
    </row>
    <row r="22" spans="1:18" ht="34.5" hidden="1" customHeight="1">
      <c r="A22" s="589"/>
      <c r="B22" s="1509"/>
      <c r="C22" s="637" t="s">
        <v>282</v>
      </c>
      <c r="D22" s="638">
        <f>'1-ABA-DE-CARREGAMENTO'!N53</f>
        <v>0</v>
      </c>
      <c r="E22" s="661" t="str">
        <f t="shared" si="10"/>
        <v/>
      </c>
      <c r="F22" s="638">
        <v>1</v>
      </c>
      <c r="G22" s="638">
        <f>'1-ABA-DE-CARREGAMENTO'!Q53</f>
        <v>0</v>
      </c>
      <c r="H22" s="638">
        <f>'1-ABA-DE-CARREGAMENTO'!R53</f>
        <v>0</v>
      </c>
      <c r="I22" s="638">
        <f>'1-ABA-DE-CARREGAMENTO'!S53</f>
        <v>0</v>
      </c>
      <c r="J22" s="638">
        <f>'1-ABA-DE-CARREGAMENTO'!T53</f>
        <v>0</v>
      </c>
      <c r="K22" s="638">
        <f>'1-ABA-DE-CARREGAMENTO'!U53</f>
        <v>0</v>
      </c>
      <c r="L22" s="639">
        <f>L21</f>
        <v>30</v>
      </c>
      <c r="M22" s="644">
        <f t="shared" si="11"/>
        <v>30</v>
      </c>
      <c r="N22" s="652">
        <f>VLOOKUP(D4, Estimativa_Horas_Diarias!B4:D18, 3, FALSE)</f>
        <v>0</v>
      </c>
      <c r="O22" s="662"/>
      <c r="P22" s="663">
        <f t="shared" si="12"/>
        <v>0</v>
      </c>
      <c r="Q22" s="635">
        <f t="shared" si="8"/>
        <v>0</v>
      </c>
      <c r="R22" s="664"/>
    </row>
    <row r="23" spans="1:18" ht="34.5" customHeight="1">
      <c r="A23" s="589" t="s">
        <v>257</v>
      </c>
      <c r="B23" s="1545"/>
      <c r="C23" s="665" t="s">
        <v>283</v>
      </c>
      <c r="D23" s="665"/>
      <c r="E23" s="666">
        <f>E14+E15+E16+E17+E18+E19</f>
        <v>5</v>
      </c>
      <c r="F23" s="666"/>
      <c r="G23" s="667"/>
      <c r="H23" s="668"/>
      <c r="I23" s="669">
        <f t="shared" ref="I23:J23" si="13">SUBTOTAL(9,I14:I20)</f>
        <v>43183.199999999997</v>
      </c>
      <c r="J23" s="669">
        <f t="shared" si="13"/>
        <v>35259.440000000002</v>
      </c>
      <c r="K23" s="670"/>
      <c r="L23" s="671"/>
      <c r="M23" s="672"/>
      <c r="N23" s="673">
        <f t="shared" ref="N23:Q23" si="14">SUBTOTAL(9,N14:N22)</f>
        <v>423113.28</v>
      </c>
      <c r="O23" s="674">
        <f t="shared" si="14"/>
        <v>423113.28</v>
      </c>
      <c r="P23" s="669">
        <f t="shared" si="14"/>
        <v>1057783.2000000002</v>
      </c>
      <c r="Q23" s="669">
        <f t="shared" si="14"/>
        <v>1057783.2000000002</v>
      </c>
      <c r="R23" s="664"/>
    </row>
    <row r="24" spans="1:18" ht="27.75" hidden="1" customHeight="1">
      <c r="A24" s="589" t="s">
        <v>257</v>
      </c>
      <c r="B24" s="675"/>
      <c r="C24" s="676"/>
      <c r="D24" s="676"/>
      <c r="E24" s="677"/>
      <c r="F24" s="677"/>
      <c r="G24" s="678"/>
      <c r="H24" s="679"/>
      <c r="I24" s="680"/>
      <c r="J24" s="681"/>
      <c r="K24" s="681"/>
      <c r="L24" s="682"/>
      <c r="M24" s="682">
        <f>N21</f>
        <v>0</v>
      </c>
      <c r="N24" s="683"/>
      <c r="O24" s="587"/>
      <c r="P24" s="588"/>
      <c r="Q24" s="588"/>
      <c r="R24" s="584"/>
    </row>
    <row r="25" spans="1:18" ht="15.75" hidden="1" customHeight="1">
      <c r="A25" s="589"/>
      <c r="C25" s="584"/>
      <c r="D25" s="584"/>
      <c r="E25" s="584"/>
      <c r="F25" s="584"/>
      <c r="G25" s="585"/>
      <c r="H25" s="586"/>
      <c r="I25" s="587"/>
      <c r="J25" s="588"/>
      <c r="K25" s="588"/>
      <c r="L25" s="584"/>
      <c r="M25" s="584"/>
      <c r="N25" s="586"/>
      <c r="O25" s="587"/>
      <c r="P25" s="588"/>
      <c r="Q25" s="588"/>
      <c r="R25" s="584"/>
    </row>
    <row r="26" spans="1:18" ht="15.75" hidden="1" customHeight="1">
      <c r="A26" s="589"/>
      <c r="C26" s="584" t="s">
        <v>9</v>
      </c>
      <c r="D26" s="584"/>
      <c r="E26" s="584"/>
      <c r="F26" s="584"/>
      <c r="G26" s="585"/>
      <c r="H26" s="586"/>
      <c r="I26" s="587"/>
      <c r="J26" s="588"/>
      <c r="K26" s="588"/>
      <c r="L26" s="584"/>
      <c r="M26" s="584"/>
      <c r="N26" s="586"/>
      <c r="O26" s="587"/>
      <c r="P26" s="588"/>
      <c r="Q26" s="588"/>
      <c r="R26" s="584"/>
    </row>
    <row r="27" spans="1:18" ht="15.75" hidden="1" customHeight="1">
      <c r="A27" s="589"/>
      <c r="C27" s="584"/>
      <c r="D27" s="584"/>
      <c r="E27" s="584"/>
      <c r="F27" s="584"/>
      <c r="G27" s="585"/>
      <c r="H27" s="586"/>
      <c r="I27" s="587"/>
      <c r="J27" s="588"/>
      <c r="K27" s="588"/>
      <c r="L27" s="584"/>
      <c r="M27" s="584"/>
      <c r="N27" s="586"/>
      <c r="O27" s="587"/>
      <c r="P27" s="588"/>
      <c r="Q27" s="588"/>
      <c r="R27" s="584"/>
    </row>
    <row r="28" spans="1:18" ht="15.75" hidden="1" customHeight="1">
      <c r="A28" s="589"/>
      <c r="C28" s="584" t="s">
        <v>284</v>
      </c>
      <c r="D28" s="584"/>
      <c r="E28" s="584"/>
      <c r="F28" s="584"/>
      <c r="G28" s="585"/>
      <c r="H28" s="586"/>
      <c r="I28" s="587"/>
      <c r="J28" s="588"/>
      <c r="K28" s="588"/>
      <c r="L28" s="584"/>
      <c r="M28" s="584"/>
      <c r="N28" s="586"/>
      <c r="O28" s="587"/>
      <c r="P28" s="588"/>
      <c r="Q28" s="588"/>
      <c r="R28" s="584"/>
    </row>
    <row r="29" spans="1:18" ht="15.75" hidden="1" customHeight="1">
      <c r="A29" s="589"/>
      <c r="C29" s="584"/>
      <c r="D29" s="584"/>
      <c r="E29" s="584"/>
      <c r="F29" s="584"/>
      <c r="G29" s="585"/>
      <c r="H29" s="586"/>
      <c r="I29" s="587"/>
      <c r="J29" s="588"/>
      <c r="K29" s="588"/>
      <c r="L29" s="584"/>
      <c r="M29" s="584"/>
      <c r="N29" s="586"/>
      <c r="O29" s="587"/>
      <c r="P29" s="588"/>
      <c r="Q29" s="588"/>
      <c r="R29" s="584"/>
    </row>
    <row r="30" spans="1:18" ht="15.75" hidden="1" customHeight="1">
      <c r="A30" s="589"/>
      <c r="C30" s="584"/>
      <c r="D30" s="584"/>
      <c r="E30" s="584"/>
      <c r="F30" s="584"/>
      <c r="G30" s="585"/>
      <c r="H30" s="586"/>
      <c r="I30" s="587"/>
      <c r="J30" s="588"/>
      <c r="K30" s="588"/>
      <c r="L30" s="584"/>
      <c r="M30" s="584"/>
      <c r="N30" s="586"/>
      <c r="O30" s="587"/>
      <c r="P30" s="588"/>
      <c r="Q30" s="588"/>
      <c r="R30" s="584"/>
    </row>
    <row r="31" spans="1:18" ht="15.75" hidden="1" customHeight="1">
      <c r="A31" s="589"/>
      <c r="C31" s="584"/>
      <c r="D31" s="584"/>
      <c r="E31" s="584"/>
      <c r="F31" s="584"/>
      <c r="G31" s="585"/>
      <c r="H31" s="586"/>
      <c r="I31" s="587"/>
      <c r="J31" s="588"/>
      <c r="K31" s="588"/>
      <c r="L31" s="584"/>
      <c r="M31" s="584"/>
      <c r="N31" s="586"/>
      <c r="O31" s="587"/>
      <c r="P31" s="588"/>
      <c r="Q31" s="588"/>
      <c r="R31" s="584"/>
    </row>
    <row r="32" spans="1:18" ht="15.75" hidden="1" customHeight="1">
      <c r="A32" s="589"/>
      <c r="C32" s="584"/>
      <c r="D32" s="584"/>
      <c r="E32" s="584"/>
      <c r="F32" s="584"/>
      <c r="G32" s="585"/>
      <c r="H32" s="586"/>
      <c r="I32" s="587"/>
      <c r="J32" s="588"/>
      <c r="K32" s="588"/>
      <c r="L32" s="584"/>
      <c r="M32" s="584"/>
      <c r="N32" s="586"/>
      <c r="O32" s="587"/>
      <c r="P32" s="588"/>
      <c r="Q32" s="588"/>
      <c r="R32" s="584"/>
    </row>
    <row r="33" spans="1:18" ht="15.75" hidden="1" customHeight="1">
      <c r="A33" s="589"/>
      <c r="C33" s="584"/>
      <c r="D33" s="584"/>
      <c r="E33" s="584"/>
      <c r="F33" s="584"/>
      <c r="G33" s="585"/>
      <c r="H33" s="586"/>
      <c r="I33" s="587"/>
      <c r="J33" s="588"/>
      <c r="K33" s="588"/>
      <c r="L33" s="584"/>
      <c r="M33" s="584"/>
      <c r="N33" s="586"/>
      <c r="O33" s="587"/>
      <c r="P33" s="588"/>
      <c r="Q33" s="588"/>
      <c r="R33" s="584"/>
    </row>
    <row r="34" spans="1:18" ht="15.75" hidden="1" customHeight="1">
      <c r="A34" s="589"/>
      <c r="C34" s="584"/>
      <c r="D34" s="584"/>
      <c r="E34" s="584"/>
      <c r="F34" s="584"/>
      <c r="G34" s="585"/>
      <c r="H34" s="586"/>
      <c r="I34" s="587"/>
      <c r="J34" s="588"/>
      <c r="K34" s="588"/>
      <c r="L34" s="584"/>
      <c r="M34" s="584"/>
      <c r="N34" s="586"/>
      <c r="O34" s="587"/>
      <c r="P34" s="588"/>
      <c r="Q34" s="588"/>
      <c r="R34" s="584"/>
    </row>
    <row r="35" spans="1:18" ht="15.75" hidden="1" customHeight="1">
      <c r="A35" s="589"/>
      <c r="C35" s="584"/>
      <c r="D35" s="584"/>
      <c r="E35" s="584"/>
      <c r="F35" s="584"/>
      <c r="G35" s="585"/>
      <c r="H35" s="586"/>
      <c r="I35" s="587"/>
      <c r="J35" s="588"/>
      <c r="K35" s="588"/>
      <c r="L35" s="584"/>
      <c r="M35" s="584"/>
      <c r="N35" s="586"/>
      <c r="O35" s="587"/>
      <c r="P35" s="588"/>
      <c r="Q35" s="588"/>
      <c r="R35" s="584"/>
    </row>
    <row r="36" spans="1:18" ht="15.75" hidden="1" customHeight="1">
      <c r="A36" s="589"/>
      <c r="C36" s="584"/>
      <c r="D36" s="584"/>
      <c r="E36" s="584"/>
      <c r="F36" s="584"/>
      <c r="G36" s="585"/>
      <c r="H36" s="586"/>
      <c r="I36" s="587"/>
      <c r="J36" s="588"/>
      <c r="K36" s="588"/>
      <c r="L36" s="584"/>
      <c r="M36" s="584"/>
      <c r="N36" s="586"/>
      <c r="O36" s="587"/>
      <c r="P36" s="588"/>
      <c r="Q36" s="588"/>
      <c r="R36" s="584"/>
    </row>
    <row r="37" spans="1:18" ht="15.75" customHeight="1">
      <c r="A37" s="589"/>
      <c r="C37" s="584"/>
      <c r="D37" s="584"/>
      <c r="E37" s="584"/>
      <c r="F37" s="584"/>
      <c r="G37" s="585"/>
      <c r="H37" s="586"/>
      <c r="I37" s="587"/>
      <c r="J37" s="588"/>
      <c r="K37" s="588"/>
      <c r="L37" s="584"/>
      <c r="M37" s="584"/>
      <c r="N37" s="586"/>
      <c r="O37" s="587"/>
      <c r="P37" s="588"/>
      <c r="Q37" s="588"/>
      <c r="R37" s="584"/>
    </row>
    <row r="38" spans="1:18" ht="15.75" customHeight="1">
      <c r="A38" s="589"/>
      <c r="C38" s="584"/>
      <c r="D38" s="584"/>
      <c r="E38" s="584"/>
      <c r="F38" s="584"/>
      <c r="G38" s="585"/>
      <c r="H38" s="586"/>
      <c r="I38" s="587"/>
      <c r="J38" s="588"/>
      <c r="K38" s="588"/>
      <c r="L38" s="584"/>
      <c r="M38" s="584"/>
      <c r="N38" s="586"/>
      <c r="O38" s="587"/>
      <c r="P38" s="588"/>
      <c r="Q38" s="588"/>
      <c r="R38" s="584"/>
    </row>
    <row r="39" spans="1:18" ht="15.75" customHeight="1">
      <c r="A39" s="589"/>
      <c r="C39" s="584"/>
      <c r="D39" s="584"/>
      <c r="E39" s="584"/>
      <c r="F39" s="584"/>
      <c r="G39" s="585"/>
      <c r="H39" s="586"/>
      <c r="I39" s="587"/>
      <c r="J39" s="588"/>
      <c r="K39" s="588"/>
      <c r="L39" s="584"/>
      <c r="M39" s="584"/>
      <c r="N39" s="586"/>
      <c r="O39" s="587"/>
      <c r="P39" s="588"/>
      <c r="Q39" s="588"/>
      <c r="R39" s="584"/>
    </row>
    <row r="40" spans="1:18" ht="15.75" customHeight="1">
      <c r="A40" s="589"/>
      <c r="C40" s="584"/>
      <c r="D40" s="584"/>
      <c r="E40" s="584"/>
      <c r="F40" s="584"/>
      <c r="G40" s="585"/>
      <c r="H40" s="586"/>
      <c r="I40" s="587"/>
      <c r="J40" s="588"/>
      <c r="K40" s="588"/>
      <c r="L40" s="584"/>
      <c r="M40" s="584"/>
      <c r="N40" s="586"/>
      <c r="O40" s="587"/>
      <c r="P40" s="588"/>
      <c r="Q40" s="588"/>
      <c r="R40" s="584"/>
    </row>
    <row r="41" spans="1:18" ht="15.75" customHeight="1">
      <c r="A41" s="589"/>
      <c r="C41" s="584"/>
      <c r="D41" s="584"/>
      <c r="E41" s="584"/>
      <c r="F41" s="584"/>
      <c r="G41" s="585"/>
      <c r="H41" s="586"/>
      <c r="I41" s="587"/>
      <c r="J41" s="588"/>
      <c r="K41" s="588"/>
      <c r="L41" s="584"/>
      <c r="M41" s="584"/>
      <c r="N41" s="586"/>
      <c r="O41" s="587"/>
      <c r="P41" s="588"/>
      <c r="Q41" s="588"/>
      <c r="R41" s="584"/>
    </row>
    <row r="42" spans="1:18" ht="15.75" customHeight="1">
      <c r="A42" s="589"/>
      <c r="C42" s="584"/>
      <c r="D42" s="584"/>
      <c r="E42" s="584"/>
      <c r="F42" s="584"/>
      <c r="G42" s="585"/>
      <c r="H42" s="586"/>
      <c r="I42" s="587"/>
      <c r="J42" s="588"/>
      <c r="K42" s="588"/>
      <c r="L42" s="584"/>
      <c r="M42" s="584"/>
      <c r="N42" s="586"/>
      <c r="O42" s="587"/>
      <c r="P42" s="588"/>
      <c r="Q42" s="588"/>
      <c r="R42" s="584"/>
    </row>
    <row r="43" spans="1:18" ht="15.75" customHeight="1">
      <c r="A43" s="589"/>
      <c r="C43" s="584"/>
      <c r="D43" s="584"/>
      <c r="E43" s="584"/>
      <c r="F43" s="584"/>
      <c r="G43" s="585"/>
      <c r="H43" s="586"/>
      <c r="I43" s="587"/>
      <c r="J43" s="588"/>
      <c r="K43" s="588"/>
      <c r="L43" s="584"/>
      <c r="M43" s="584"/>
      <c r="N43" s="586"/>
      <c r="O43" s="587"/>
      <c r="P43" s="588"/>
      <c r="Q43" s="588"/>
      <c r="R43" s="584"/>
    </row>
    <row r="44" spans="1:18" ht="15.75" customHeight="1">
      <c r="A44" s="589"/>
      <c r="C44" s="584"/>
      <c r="D44" s="584"/>
      <c r="E44" s="584"/>
      <c r="F44" s="584"/>
      <c r="G44" s="585"/>
      <c r="H44" s="586"/>
      <c r="I44" s="587"/>
      <c r="J44" s="588"/>
      <c r="K44" s="588"/>
      <c r="L44" s="584"/>
      <c r="M44" s="584"/>
      <c r="N44" s="586"/>
      <c r="O44" s="587"/>
      <c r="P44" s="588"/>
      <c r="Q44" s="588"/>
      <c r="R44" s="584"/>
    </row>
    <row r="45" spans="1:18" ht="15.75" customHeight="1">
      <c r="A45" s="589"/>
      <c r="C45" s="584"/>
      <c r="D45" s="584"/>
      <c r="E45" s="584"/>
      <c r="F45" s="584"/>
      <c r="G45" s="585"/>
      <c r="H45" s="586"/>
      <c r="I45" s="587"/>
      <c r="J45" s="588"/>
      <c r="K45" s="588"/>
      <c r="L45" s="584"/>
      <c r="M45" s="584"/>
      <c r="N45" s="586"/>
      <c r="O45" s="587"/>
      <c r="P45" s="588"/>
      <c r="Q45" s="588"/>
      <c r="R45" s="584"/>
    </row>
    <row r="46" spans="1:18" ht="15.75" customHeight="1">
      <c r="A46" s="589"/>
      <c r="C46" s="584"/>
      <c r="D46" s="584"/>
      <c r="E46" s="584"/>
      <c r="F46" s="584"/>
      <c r="G46" s="585"/>
      <c r="H46" s="586"/>
      <c r="I46" s="587"/>
      <c r="J46" s="588"/>
      <c r="K46" s="588"/>
      <c r="L46" s="584"/>
      <c r="M46" s="584"/>
      <c r="N46" s="586"/>
      <c r="O46" s="587"/>
      <c r="P46" s="588"/>
      <c r="Q46" s="588"/>
      <c r="R46" s="584"/>
    </row>
    <row r="47" spans="1:18" ht="15.75" customHeight="1">
      <c r="A47" s="589"/>
      <c r="C47" s="584"/>
      <c r="D47" s="584"/>
      <c r="E47" s="584"/>
      <c r="F47" s="584"/>
      <c r="G47" s="585"/>
      <c r="H47" s="586"/>
      <c r="I47" s="587"/>
      <c r="J47" s="588"/>
      <c r="K47" s="588"/>
      <c r="L47" s="584"/>
      <c r="M47" s="584"/>
      <c r="N47" s="586"/>
      <c r="O47" s="587"/>
      <c r="P47" s="588"/>
      <c r="Q47" s="588"/>
      <c r="R47" s="584"/>
    </row>
    <row r="48" spans="1:18" ht="15.75" customHeight="1">
      <c r="A48" s="589"/>
      <c r="C48" s="584"/>
      <c r="D48" s="584"/>
      <c r="E48" s="584"/>
      <c r="F48" s="584"/>
      <c r="G48" s="585"/>
      <c r="H48" s="586"/>
      <c r="I48" s="587"/>
      <c r="J48" s="588"/>
      <c r="K48" s="588"/>
      <c r="L48" s="584"/>
      <c r="M48" s="584"/>
      <c r="N48" s="586"/>
      <c r="O48" s="587"/>
      <c r="P48" s="588"/>
      <c r="Q48" s="588"/>
      <c r="R48" s="584"/>
    </row>
    <row r="49" spans="1:18" ht="15.75" customHeight="1">
      <c r="A49" s="589"/>
      <c r="C49" s="584"/>
      <c r="D49" s="584"/>
      <c r="E49" s="584"/>
      <c r="F49" s="584"/>
      <c r="G49" s="585"/>
      <c r="H49" s="586"/>
      <c r="I49" s="587"/>
      <c r="J49" s="588"/>
      <c r="K49" s="588"/>
      <c r="L49" s="584"/>
      <c r="M49" s="584"/>
      <c r="N49" s="586"/>
      <c r="O49" s="587"/>
      <c r="P49" s="588"/>
      <c r="Q49" s="588"/>
      <c r="R49" s="584"/>
    </row>
    <row r="50" spans="1:18" ht="15.75" customHeight="1">
      <c r="A50" s="589"/>
      <c r="C50" s="584"/>
      <c r="D50" s="584"/>
      <c r="E50" s="584"/>
      <c r="F50" s="584"/>
      <c r="G50" s="585"/>
      <c r="H50" s="586"/>
      <c r="I50" s="587"/>
      <c r="J50" s="588"/>
      <c r="K50" s="588"/>
      <c r="L50" s="584"/>
      <c r="M50" s="584"/>
      <c r="N50" s="586"/>
      <c r="O50" s="587"/>
      <c r="P50" s="588"/>
      <c r="Q50" s="588"/>
      <c r="R50" s="584"/>
    </row>
    <row r="51" spans="1:18" ht="15.75" customHeight="1">
      <c r="A51" s="589"/>
      <c r="C51" s="584"/>
      <c r="D51" s="584"/>
      <c r="E51" s="584"/>
      <c r="F51" s="584"/>
      <c r="G51" s="585"/>
      <c r="H51" s="586"/>
      <c r="I51" s="587"/>
      <c r="J51" s="588"/>
      <c r="K51" s="588"/>
      <c r="L51" s="584"/>
      <c r="M51" s="584"/>
      <c r="N51" s="586"/>
      <c r="O51" s="587"/>
      <c r="P51" s="588"/>
      <c r="Q51" s="588"/>
      <c r="R51" s="584"/>
    </row>
    <row r="52" spans="1:18" ht="15.75" customHeight="1">
      <c r="A52" s="589"/>
      <c r="C52" s="584"/>
      <c r="D52" s="584"/>
      <c r="E52" s="584"/>
      <c r="F52" s="584"/>
      <c r="G52" s="585"/>
      <c r="H52" s="586"/>
      <c r="I52" s="587"/>
      <c r="J52" s="588"/>
      <c r="K52" s="588"/>
      <c r="L52" s="584"/>
      <c r="M52" s="584"/>
      <c r="N52" s="586"/>
      <c r="O52" s="587"/>
      <c r="P52" s="588"/>
      <c r="Q52" s="588"/>
      <c r="R52" s="584"/>
    </row>
    <row r="53" spans="1:18" ht="15.75" customHeight="1">
      <c r="A53" s="589"/>
      <c r="C53" s="584"/>
      <c r="D53" s="584"/>
      <c r="E53" s="584"/>
      <c r="F53" s="584"/>
      <c r="G53" s="585"/>
      <c r="H53" s="586"/>
      <c r="I53" s="587"/>
      <c r="J53" s="588"/>
      <c r="K53" s="588"/>
      <c r="L53" s="584"/>
      <c r="M53" s="584"/>
      <c r="N53" s="586"/>
      <c r="O53" s="587"/>
      <c r="P53" s="588"/>
      <c r="Q53" s="588"/>
      <c r="R53" s="584"/>
    </row>
    <row r="54" spans="1:18" ht="15.75" customHeight="1">
      <c r="A54" s="589"/>
      <c r="C54" s="584"/>
      <c r="D54" s="584"/>
      <c r="E54" s="584"/>
      <c r="F54" s="584"/>
      <c r="G54" s="585"/>
      <c r="H54" s="586"/>
      <c r="I54" s="587"/>
      <c r="J54" s="588"/>
      <c r="K54" s="588"/>
      <c r="L54" s="584"/>
      <c r="M54" s="584"/>
      <c r="N54" s="586"/>
      <c r="O54" s="587"/>
      <c r="P54" s="588"/>
      <c r="Q54" s="588"/>
      <c r="R54" s="584"/>
    </row>
    <row r="55" spans="1:18" ht="15.75" customHeight="1">
      <c r="A55" s="589"/>
      <c r="C55" s="584"/>
      <c r="D55" s="584"/>
      <c r="E55" s="584"/>
      <c r="F55" s="584"/>
      <c r="G55" s="585"/>
      <c r="H55" s="586"/>
      <c r="I55" s="587"/>
      <c r="J55" s="588"/>
      <c r="K55" s="588"/>
      <c r="L55" s="584"/>
      <c r="M55" s="584"/>
      <c r="N55" s="586"/>
      <c r="O55" s="587"/>
      <c r="P55" s="588"/>
      <c r="Q55" s="588"/>
      <c r="R55" s="584"/>
    </row>
    <row r="56" spans="1:18" ht="15.75" customHeight="1">
      <c r="A56" s="589"/>
      <c r="C56" s="584"/>
      <c r="D56" s="584"/>
      <c r="E56" s="584"/>
      <c r="F56" s="584"/>
      <c r="G56" s="585"/>
      <c r="H56" s="586"/>
      <c r="I56" s="587"/>
      <c r="J56" s="588"/>
      <c r="K56" s="588"/>
      <c r="L56" s="584"/>
      <c r="M56" s="584"/>
      <c r="N56" s="586"/>
      <c r="O56" s="587"/>
      <c r="P56" s="588"/>
      <c r="Q56" s="588"/>
      <c r="R56" s="584"/>
    </row>
    <row r="57" spans="1:18" ht="15.75" customHeight="1">
      <c r="A57" s="589"/>
      <c r="C57" s="584"/>
      <c r="D57" s="584"/>
      <c r="E57" s="584"/>
      <c r="F57" s="584"/>
      <c r="G57" s="585"/>
      <c r="H57" s="586"/>
      <c r="I57" s="587"/>
      <c r="J57" s="588"/>
      <c r="K57" s="588"/>
      <c r="L57" s="584"/>
      <c r="M57" s="584"/>
      <c r="N57" s="586"/>
      <c r="O57" s="587"/>
      <c r="P57" s="588"/>
      <c r="Q57" s="588"/>
      <c r="R57" s="584"/>
    </row>
    <row r="58" spans="1:18" ht="15.75" customHeight="1">
      <c r="A58" s="589"/>
      <c r="C58" s="584"/>
      <c r="D58" s="584"/>
      <c r="E58" s="584"/>
      <c r="F58" s="584"/>
      <c r="G58" s="585"/>
      <c r="H58" s="586"/>
      <c r="I58" s="587"/>
      <c r="J58" s="588"/>
      <c r="K58" s="588"/>
      <c r="L58" s="584"/>
      <c r="M58" s="584"/>
      <c r="N58" s="586"/>
      <c r="O58" s="587"/>
      <c r="P58" s="588"/>
      <c r="Q58" s="588"/>
      <c r="R58" s="584"/>
    </row>
    <row r="59" spans="1:18" ht="15.75" customHeight="1">
      <c r="A59" s="589"/>
      <c r="C59" s="584"/>
      <c r="D59" s="584"/>
      <c r="E59" s="584"/>
      <c r="F59" s="584"/>
      <c r="G59" s="585"/>
      <c r="H59" s="586"/>
      <c r="I59" s="587"/>
      <c r="J59" s="588"/>
      <c r="K59" s="588"/>
      <c r="L59" s="584"/>
      <c r="M59" s="584"/>
      <c r="N59" s="586"/>
      <c r="O59" s="587"/>
      <c r="P59" s="588"/>
      <c r="Q59" s="588"/>
      <c r="R59" s="584"/>
    </row>
    <row r="60" spans="1:18" ht="15.75" customHeight="1">
      <c r="A60" s="589"/>
      <c r="C60" s="584"/>
      <c r="D60" s="584"/>
      <c r="E60" s="584"/>
      <c r="F60" s="584"/>
      <c r="G60" s="585"/>
      <c r="H60" s="586"/>
      <c r="I60" s="587"/>
      <c r="J60" s="588"/>
      <c r="K60" s="588"/>
      <c r="L60" s="584"/>
      <c r="M60" s="584"/>
      <c r="N60" s="586"/>
      <c r="O60" s="587"/>
      <c r="P60" s="588"/>
      <c r="Q60" s="588"/>
      <c r="R60" s="584"/>
    </row>
    <row r="61" spans="1:18" ht="15.75" customHeight="1">
      <c r="A61" s="589"/>
      <c r="C61" s="584"/>
      <c r="D61" s="584"/>
      <c r="E61" s="584"/>
      <c r="F61" s="584"/>
      <c r="G61" s="585"/>
      <c r="H61" s="586"/>
      <c r="I61" s="587"/>
      <c r="J61" s="588"/>
      <c r="K61" s="588"/>
      <c r="L61" s="584"/>
      <c r="M61" s="584"/>
      <c r="N61" s="586"/>
      <c r="O61" s="587"/>
      <c r="P61" s="588"/>
      <c r="Q61" s="588"/>
      <c r="R61" s="584"/>
    </row>
    <row r="62" spans="1:18" ht="15.75" customHeight="1">
      <c r="A62" s="589"/>
      <c r="C62" s="584"/>
      <c r="D62" s="584"/>
      <c r="E62" s="584"/>
      <c r="F62" s="584"/>
      <c r="G62" s="585"/>
      <c r="H62" s="586"/>
      <c r="I62" s="587"/>
      <c r="J62" s="588"/>
      <c r="K62" s="588"/>
      <c r="L62" s="584"/>
      <c r="M62" s="584"/>
      <c r="N62" s="586"/>
      <c r="O62" s="587"/>
      <c r="P62" s="588"/>
      <c r="Q62" s="588"/>
      <c r="R62" s="584"/>
    </row>
    <row r="63" spans="1:18" ht="15.75" customHeight="1">
      <c r="A63" s="589"/>
      <c r="C63" s="584"/>
      <c r="D63" s="584"/>
      <c r="E63" s="584"/>
      <c r="F63" s="584"/>
      <c r="G63" s="585"/>
      <c r="H63" s="586"/>
      <c r="I63" s="587"/>
      <c r="J63" s="588"/>
      <c r="K63" s="588"/>
      <c r="L63" s="584"/>
      <c r="M63" s="584"/>
      <c r="N63" s="586"/>
      <c r="O63" s="587"/>
      <c r="P63" s="588"/>
      <c r="Q63" s="588"/>
      <c r="R63" s="584"/>
    </row>
    <row r="64" spans="1:18" ht="15.75" customHeight="1">
      <c r="A64" s="589"/>
      <c r="C64" s="584"/>
      <c r="D64" s="584"/>
      <c r="E64" s="584"/>
      <c r="F64" s="584"/>
      <c r="G64" s="585"/>
      <c r="H64" s="586"/>
      <c r="I64" s="587"/>
      <c r="J64" s="588"/>
      <c r="K64" s="588"/>
      <c r="L64" s="584"/>
      <c r="M64" s="584"/>
      <c r="N64" s="586"/>
      <c r="O64" s="587"/>
      <c r="P64" s="588"/>
      <c r="Q64" s="588"/>
      <c r="R64" s="584"/>
    </row>
    <row r="65" spans="1:18" ht="15.75" customHeight="1">
      <c r="A65" s="589"/>
      <c r="C65" s="584"/>
      <c r="D65" s="584"/>
      <c r="E65" s="584"/>
      <c r="F65" s="584"/>
      <c r="G65" s="585"/>
      <c r="H65" s="586"/>
      <c r="I65" s="587"/>
      <c r="J65" s="588"/>
      <c r="K65" s="588"/>
      <c r="L65" s="584"/>
      <c r="M65" s="584"/>
      <c r="N65" s="586"/>
      <c r="O65" s="587"/>
      <c r="P65" s="588"/>
      <c r="Q65" s="588"/>
      <c r="R65" s="584"/>
    </row>
    <row r="66" spans="1:18" ht="15.75" customHeight="1">
      <c r="A66" s="589"/>
      <c r="C66" s="584"/>
      <c r="D66" s="584"/>
      <c r="E66" s="584"/>
      <c r="F66" s="584"/>
      <c r="G66" s="585"/>
      <c r="H66" s="586"/>
      <c r="I66" s="587"/>
      <c r="J66" s="588"/>
      <c r="K66" s="588"/>
      <c r="L66" s="584"/>
      <c r="M66" s="584"/>
      <c r="N66" s="586"/>
      <c r="O66" s="587"/>
      <c r="P66" s="588"/>
      <c r="Q66" s="588"/>
      <c r="R66" s="584"/>
    </row>
    <row r="67" spans="1:18" ht="15.75" customHeight="1">
      <c r="A67" s="589"/>
      <c r="C67" s="584"/>
      <c r="D67" s="584"/>
      <c r="E67" s="584"/>
      <c r="F67" s="584"/>
      <c r="G67" s="585"/>
      <c r="H67" s="586"/>
      <c r="I67" s="587"/>
      <c r="J67" s="588"/>
      <c r="K67" s="588"/>
      <c r="L67" s="584"/>
      <c r="M67" s="584"/>
      <c r="N67" s="586"/>
      <c r="O67" s="587"/>
      <c r="P67" s="588"/>
      <c r="Q67" s="588"/>
      <c r="R67" s="584"/>
    </row>
    <row r="68" spans="1:18" ht="15.75" customHeight="1">
      <c r="A68" s="589"/>
      <c r="C68" s="584"/>
      <c r="D68" s="584"/>
      <c r="E68" s="584"/>
      <c r="F68" s="584"/>
      <c r="G68" s="585"/>
      <c r="H68" s="586"/>
      <c r="I68" s="587"/>
      <c r="J68" s="588"/>
      <c r="K68" s="588"/>
      <c r="L68" s="584"/>
      <c r="M68" s="584"/>
      <c r="N68" s="586"/>
      <c r="O68" s="587"/>
      <c r="P68" s="588"/>
      <c r="Q68" s="588"/>
      <c r="R68" s="584"/>
    </row>
    <row r="69" spans="1:18" ht="15.75" customHeight="1">
      <c r="A69" s="589"/>
      <c r="C69" s="584"/>
      <c r="D69" s="584"/>
      <c r="E69" s="584"/>
      <c r="F69" s="584"/>
      <c r="G69" s="585"/>
      <c r="H69" s="586"/>
      <c r="I69" s="587"/>
      <c r="J69" s="588"/>
      <c r="K69" s="588"/>
      <c r="L69" s="584"/>
      <c r="M69" s="584"/>
      <c r="N69" s="586"/>
      <c r="O69" s="587"/>
      <c r="P69" s="588"/>
      <c r="Q69" s="588"/>
      <c r="R69" s="584"/>
    </row>
    <row r="70" spans="1:18" ht="15.75" customHeight="1">
      <c r="A70" s="589"/>
      <c r="C70" s="584"/>
      <c r="D70" s="584"/>
      <c r="E70" s="584"/>
      <c r="F70" s="584"/>
      <c r="G70" s="585"/>
      <c r="H70" s="586"/>
      <c r="I70" s="587"/>
      <c r="J70" s="588"/>
      <c r="K70" s="588"/>
      <c r="L70" s="584"/>
      <c r="M70" s="584"/>
      <c r="N70" s="586"/>
      <c r="O70" s="587"/>
      <c r="P70" s="588"/>
      <c r="Q70" s="588"/>
      <c r="R70" s="584"/>
    </row>
    <row r="71" spans="1:18" ht="15.75" customHeight="1">
      <c r="A71" s="589"/>
      <c r="C71" s="584"/>
      <c r="D71" s="584"/>
      <c r="E71" s="584"/>
      <c r="F71" s="584"/>
      <c r="G71" s="585"/>
      <c r="H71" s="586"/>
      <c r="I71" s="587"/>
      <c r="J71" s="588"/>
      <c r="K71" s="588"/>
      <c r="L71" s="584"/>
      <c r="M71" s="584"/>
      <c r="N71" s="586"/>
      <c r="O71" s="587"/>
      <c r="P71" s="588"/>
      <c r="Q71" s="588"/>
      <c r="R71" s="584"/>
    </row>
    <row r="72" spans="1:18" ht="15.75" customHeight="1">
      <c r="A72" s="589"/>
      <c r="C72" s="584"/>
      <c r="D72" s="584"/>
      <c r="E72" s="584"/>
      <c r="F72" s="584"/>
      <c r="G72" s="585"/>
      <c r="H72" s="586"/>
      <c r="I72" s="587"/>
      <c r="J72" s="588"/>
      <c r="K72" s="588"/>
      <c r="L72" s="584"/>
      <c r="M72" s="584"/>
      <c r="N72" s="586"/>
      <c r="O72" s="587"/>
      <c r="P72" s="588"/>
      <c r="Q72" s="588"/>
      <c r="R72" s="584"/>
    </row>
    <row r="73" spans="1:18" ht="15.75" customHeight="1">
      <c r="A73" s="589"/>
      <c r="C73" s="584"/>
      <c r="D73" s="584"/>
      <c r="E73" s="584"/>
      <c r="F73" s="584"/>
      <c r="G73" s="585"/>
      <c r="H73" s="586"/>
      <c r="I73" s="587"/>
      <c r="J73" s="588"/>
      <c r="K73" s="588"/>
      <c r="L73" s="584"/>
      <c r="M73" s="584"/>
      <c r="N73" s="586"/>
      <c r="O73" s="587"/>
      <c r="P73" s="588"/>
      <c r="Q73" s="588"/>
      <c r="R73" s="584"/>
    </row>
    <row r="74" spans="1:18" ht="15.75" customHeight="1">
      <c r="A74" s="589"/>
      <c r="C74" s="584"/>
      <c r="D74" s="584"/>
      <c r="E74" s="584"/>
      <c r="F74" s="584"/>
      <c r="G74" s="585"/>
      <c r="H74" s="586"/>
      <c r="I74" s="587"/>
      <c r="J74" s="588"/>
      <c r="K74" s="588"/>
      <c r="L74" s="584"/>
      <c r="M74" s="584"/>
      <c r="N74" s="586"/>
      <c r="O74" s="587"/>
      <c r="P74" s="588"/>
      <c r="Q74" s="588"/>
      <c r="R74" s="584"/>
    </row>
    <row r="75" spans="1:18" ht="15.75" customHeight="1">
      <c r="A75" s="589"/>
      <c r="C75" s="584"/>
      <c r="D75" s="584"/>
      <c r="E75" s="584"/>
      <c r="F75" s="584"/>
      <c r="G75" s="585"/>
      <c r="H75" s="586"/>
      <c r="I75" s="587"/>
      <c r="J75" s="588"/>
      <c r="K75" s="588"/>
      <c r="L75" s="584"/>
      <c r="M75" s="584"/>
      <c r="N75" s="586"/>
      <c r="O75" s="587"/>
      <c r="P75" s="588"/>
      <c r="Q75" s="588"/>
      <c r="R75" s="584"/>
    </row>
    <row r="76" spans="1:18" ht="15.75" customHeight="1">
      <c r="A76" s="589"/>
      <c r="C76" s="584"/>
      <c r="D76" s="584"/>
      <c r="E76" s="584"/>
      <c r="F76" s="584"/>
      <c r="G76" s="585"/>
      <c r="H76" s="586"/>
      <c r="I76" s="587"/>
      <c r="J76" s="588"/>
      <c r="K76" s="588"/>
      <c r="L76" s="584"/>
      <c r="M76" s="584"/>
      <c r="N76" s="586"/>
      <c r="O76" s="587"/>
      <c r="P76" s="588"/>
      <c r="Q76" s="588"/>
      <c r="R76" s="584"/>
    </row>
    <row r="77" spans="1:18" ht="15.75" customHeight="1">
      <c r="A77" s="589"/>
      <c r="C77" s="584"/>
      <c r="D77" s="584"/>
      <c r="E77" s="584"/>
      <c r="F77" s="584"/>
      <c r="G77" s="585"/>
      <c r="H77" s="586"/>
      <c r="I77" s="587"/>
      <c r="J77" s="588"/>
      <c r="K77" s="588"/>
      <c r="L77" s="584"/>
      <c r="M77" s="584"/>
      <c r="N77" s="586"/>
      <c r="O77" s="587"/>
      <c r="P77" s="588"/>
      <c r="Q77" s="588"/>
      <c r="R77" s="584"/>
    </row>
    <row r="78" spans="1:18" ht="15.75" customHeight="1">
      <c r="A78" s="589"/>
      <c r="C78" s="584"/>
      <c r="D78" s="584"/>
      <c r="E78" s="584"/>
      <c r="F78" s="584"/>
      <c r="G78" s="585"/>
      <c r="H78" s="586"/>
      <c r="I78" s="587"/>
      <c r="J78" s="588"/>
      <c r="K78" s="588"/>
      <c r="L78" s="584"/>
      <c r="M78" s="584"/>
      <c r="N78" s="586"/>
      <c r="O78" s="587"/>
      <c r="P78" s="588"/>
      <c r="Q78" s="588"/>
      <c r="R78" s="584"/>
    </row>
    <row r="79" spans="1:18" ht="15.75" customHeight="1">
      <c r="A79" s="589"/>
      <c r="C79" s="584"/>
      <c r="D79" s="584"/>
      <c r="E79" s="584"/>
      <c r="F79" s="584"/>
      <c r="G79" s="585"/>
      <c r="H79" s="586"/>
      <c r="I79" s="587"/>
      <c r="J79" s="588"/>
      <c r="K79" s="588"/>
      <c r="L79" s="584"/>
      <c r="M79" s="584"/>
      <c r="N79" s="586"/>
      <c r="O79" s="587"/>
      <c r="P79" s="588"/>
      <c r="Q79" s="588"/>
      <c r="R79" s="584"/>
    </row>
    <row r="80" spans="1:18" ht="15.75" customHeight="1">
      <c r="A80" s="589"/>
      <c r="C80" s="584"/>
      <c r="D80" s="584"/>
      <c r="E80" s="584"/>
      <c r="F80" s="584"/>
      <c r="G80" s="585"/>
      <c r="H80" s="586"/>
      <c r="I80" s="587"/>
      <c r="J80" s="588"/>
      <c r="K80" s="588"/>
      <c r="L80" s="584"/>
      <c r="M80" s="584"/>
      <c r="N80" s="586"/>
      <c r="O80" s="587"/>
      <c r="P80" s="588"/>
      <c r="Q80" s="588"/>
      <c r="R80" s="584"/>
    </row>
    <row r="81" spans="1:18" ht="15.75" customHeight="1">
      <c r="A81" s="589"/>
      <c r="C81" s="584"/>
      <c r="D81" s="584"/>
      <c r="E81" s="584"/>
      <c r="F81" s="584"/>
      <c r="G81" s="585"/>
      <c r="H81" s="586"/>
      <c r="I81" s="587"/>
      <c r="J81" s="588"/>
      <c r="K81" s="588"/>
      <c r="L81" s="584"/>
      <c r="M81" s="584"/>
      <c r="N81" s="586"/>
      <c r="O81" s="587"/>
      <c r="P81" s="588"/>
      <c r="Q81" s="588"/>
      <c r="R81" s="584"/>
    </row>
    <row r="82" spans="1:18" ht="15.75" customHeight="1">
      <c r="A82" s="589"/>
      <c r="C82" s="584"/>
      <c r="D82" s="584"/>
      <c r="E82" s="584"/>
      <c r="F82" s="584"/>
      <c r="G82" s="585"/>
      <c r="H82" s="586"/>
      <c r="I82" s="587"/>
      <c r="J82" s="588"/>
      <c r="K82" s="588"/>
      <c r="L82" s="584"/>
      <c r="M82" s="584"/>
      <c r="N82" s="586"/>
      <c r="O82" s="587"/>
      <c r="P82" s="588"/>
      <c r="Q82" s="588"/>
      <c r="R82" s="584"/>
    </row>
    <row r="83" spans="1:18" ht="15.75" customHeight="1">
      <c r="A83" s="589"/>
      <c r="C83" s="584"/>
      <c r="D83" s="584"/>
      <c r="E83" s="584"/>
      <c r="F83" s="584"/>
      <c r="G83" s="585"/>
      <c r="H83" s="586"/>
      <c r="I83" s="587"/>
      <c r="J83" s="588"/>
      <c r="K83" s="588"/>
      <c r="L83" s="584"/>
      <c r="M83" s="584"/>
      <c r="N83" s="586"/>
      <c r="O83" s="587"/>
      <c r="P83" s="588"/>
      <c r="Q83" s="588"/>
      <c r="R83" s="584"/>
    </row>
    <row r="84" spans="1:18" ht="15.75" customHeight="1">
      <c r="A84" s="589"/>
      <c r="C84" s="584"/>
      <c r="D84" s="584"/>
      <c r="E84" s="584"/>
      <c r="F84" s="584"/>
      <c r="G84" s="585"/>
      <c r="H84" s="586"/>
      <c r="I84" s="587"/>
      <c r="J84" s="588"/>
      <c r="K84" s="588"/>
      <c r="L84" s="584"/>
      <c r="M84" s="584"/>
      <c r="N84" s="586"/>
      <c r="O84" s="587"/>
      <c r="P84" s="588"/>
      <c r="Q84" s="588"/>
      <c r="R84" s="584"/>
    </row>
    <row r="85" spans="1:18" ht="15.75" customHeight="1">
      <c r="A85" s="589"/>
      <c r="C85" s="584"/>
      <c r="D85" s="584"/>
      <c r="E85" s="584"/>
      <c r="F85" s="584"/>
      <c r="G85" s="585"/>
      <c r="H85" s="586"/>
      <c r="I85" s="587"/>
      <c r="J85" s="588"/>
      <c r="K85" s="588"/>
      <c r="L85" s="584"/>
      <c r="M85" s="584"/>
      <c r="N85" s="586"/>
      <c r="O85" s="587"/>
      <c r="P85" s="588"/>
      <c r="Q85" s="588"/>
      <c r="R85" s="584"/>
    </row>
    <row r="86" spans="1:18" ht="15.75" customHeight="1">
      <c r="A86" s="589"/>
      <c r="C86" s="584"/>
      <c r="D86" s="584"/>
      <c r="E86" s="584"/>
      <c r="F86" s="584"/>
      <c r="G86" s="585"/>
      <c r="H86" s="586"/>
      <c r="I86" s="587"/>
      <c r="J86" s="588"/>
      <c r="K86" s="588"/>
      <c r="L86" s="584"/>
      <c r="M86" s="584"/>
      <c r="N86" s="586"/>
      <c r="O86" s="587"/>
      <c r="P86" s="588"/>
      <c r="Q86" s="588"/>
      <c r="R86" s="584"/>
    </row>
    <row r="87" spans="1:18" ht="15.75" customHeight="1">
      <c r="A87" s="589"/>
      <c r="C87" s="584"/>
      <c r="D87" s="584"/>
      <c r="E87" s="584"/>
      <c r="F87" s="584"/>
      <c r="G87" s="585"/>
      <c r="H87" s="586"/>
      <c r="I87" s="587"/>
      <c r="J87" s="588"/>
      <c r="K87" s="588"/>
      <c r="L87" s="584"/>
      <c r="M87" s="584"/>
      <c r="N87" s="586"/>
      <c r="O87" s="587"/>
      <c r="P87" s="588"/>
      <c r="Q87" s="588"/>
      <c r="R87" s="584"/>
    </row>
    <row r="88" spans="1:18" ht="15.75" customHeight="1">
      <c r="A88" s="589"/>
      <c r="C88" s="584"/>
      <c r="D88" s="584"/>
      <c r="E88" s="584"/>
      <c r="F88" s="584"/>
      <c r="G88" s="585"/>
      <c r="H88" s="586"/>
      <c r="I88" s="587"/>
      <c r="J88" s="588"/>
      <c r="K88" s="588"/>
      <c r="L88" s="584"/>
      <c r="M88" s="584"/>
      <c r="N88" s="586"/>
      <c r="O88" s="587"/>
      <c r="P88" s="588"/>
      <c r="Q88" s="588"/>
      <c r="R88" s="584"/>
    </row>
    <row r="89" spans="1:18" ht="15.75" customHeight="1">
      <c r="A89" s="589"/>
      <c r="C89" s="584"/>
      <c r="D89" s="584"/>
      <c r="E89" s="584"/>
      <c r="F89" s="584"/>
      <c r="G89" s="585"/>
      <c r="H89" s="586"/>
      <c r="I89" s="587"/>
      <c r="J89" s="588"/>
      <c r="K89" s="588"/>
      <c r="L89" s="584"/>
      <c r="M89" s="584"/>
      <c r="N89" s="586"/>
      <c r="O89" s="587"/>
      <c r="P89" s="588"/>
      <c r="Q89" s="588"/>
      <c r="R89" s="584"/>
    </row>
    <row r="90" spans="1:18" ht="15.75" customHeight="1">
      <c r="A90" s="589"/>
      <c r="C90" s="584"/>
      <c r="D90" s="584"/>
      <c r="E90" s="584"/>
      <c r="F90" s="584"/>
      <c r="G90" s="585"/>
      <c r="H90" s="586"/>
      <c r="I90" s="587"/>
      <c r="J90" s="588"/>
      <c r="K90" s="588"/>
      <c r="L90" s="584"/>
      <c r="M90" s="584"/>
      <c r="N90" s="586"/>
      <c r="O90" s="587"/>
      <c r="P90" s="588"/>
      <c r="Q90" s="588"/>
      <c r="R90" s="584"/>
    </row>
    <row r="91" spans="1:18" ht="15.75" customHeight="1">
      <c r="A91" s="589"/>
      <c r="C91" s="584"/>
      <c r="D91" s="584"/>
      <c r="E91" s="584"/>
      <c r="F91" s="584"/>
      <c r="G91" s="585"/>
      <c r="H91" s="586"/>
      <c r="I91" s="587"/>
      <c r="J91" s="588"/>
      <c r="K91" s="588"/>
      <c r="L91" s="584"/>
      <c r="M91" s="584"/>
      <c r="N91" s="586"/>
      <c r="O91" s="587"/>
      <c r="P91" s="588"/>
      <c r="Q91" s="588"/>
      <c r="R91" s="584"/>
    </row>
    <row r="92" spans="1:18" ht="15.75" customHeight="1">
      <c r="A92" s="589"/>
      <c r="C92" s="584"/>
      <c r="D92" s="584"/>
      <c r="E92" s="584"/>
      <c r="F92" s="584"/>
      <c r="G92" s="585"/>
      <c r="H92" s="586"/>
      <c r="I92" s="587"/>
      <c r="J92" s="588"/>
      <c r="K92" s="588"/>
      <c r="L92" s="584"/>
      <c r="M92" s="584"/>
      <c r="N92" s="586"/>
      <c r="O92" s="587"/>
      <c r="P92" s="588"/>
      <c r="Q92" s="588"/>
      <c r="R92" s="584"/>
    </row>
    <row r="93" spans="1:18" ht="15.75" customHeight="1">
      <c r="A93" s="589"/>
      <c r="C93" s="584"/>
      <c r="D93" s="584"/>
      <c r="E93" s="584"/>
      <c r="F93" s="584"/>
      <c r="G93" s="585"/>
      <c r="H93" s="586"/>
      <c r="I93" s="587"/>
      <c r="J93" s="588"/>
      <c r="K93" s="588"/>
      <c r="L93" s="584"/>
      <c r="M93" s="584"/>
      <c r="N93" s="586"/>
      <c r="O93" s="587"/>
      <c r="P93" s="588"/>
      <c r="Q93" s="588"/>
      <c r="R93" s="584"/>
    </row>
    <row r="94" spans="1:18" ht="15.75" customHeight="1">
      <c r="A94" s="589"/>
      <c r="C94" s="584"/>
      <c r="D94" s="584"/>
      <c r="E94" s="584"/>
      <c r="F94" s="584"/>
      <c r="G94" s="585"/>
      <c r="H94" s="586"/>
      <c r="I94" s="587"/>
      <c r="J94" s="588"/>
      <c r="K94" s="588"/>
      <c r="L94" s="584"/>
      <c r="M94" s="584"/>
      <c r="N94" s="586"/>
      <c r="O94" s="587"/>
      <c r="P94" s="588"/>
      <c r="Q94" s="588"/>
      <c r="R94" s="584"/>
    </row>
    <row r="95" spans="1:18" ht="15.75" customHeight="1">
      <c r="A95" s="589"/>
      <c r="C95" s="584"/>
      <c r="D95" s="584"/>
      <c r="E95" s="584"/>
      <c r="F95" s="584"/>
      <c r="G95" s="585"/>
      <c r="H95" s="586"/>
      <c r="I95" s="587"/>
      <c r="J95" s="588"/>
      <c r="K95" s="588"/>
      <c r="L95" s="584"/>
      <c r="M95" s="584"/>
      <c r="N95" s="586"/>
      <c r="O95" s="587"/>
      <c r="P95" s="588"/>
      <c r="Q95" s="588"/>
      <c r="R95" s="584"/>
    </row>
    <row r="96" spans="1:18" ht="15.75" customHeight="1">
      <c r="A96" s="589"/>
      <c r="C96" s="584"/>
      <c r="D96" s="584"/>
      <c r="E96" s="584"/>
      <c r="F96" s="584"/>
      <c r="G96" s="585"/>
      <c r="H96" s="586"/>
      <c r="I96" s="587"/>
      <c r="J96" s="588"/>
      <c r="K96" s="588"/>
      <c r="L96" s="584"/>
      <c r="M96" s="584"/>
      <c r="N96" s="586"/>
      <c r="O96" s="587"/>
      <c r="P96" s="588"/>
      <c r="Q96" s="588"/>
      <c r="R96" s="584"/>
    </row>
    <row r="97" spans="1:18" ht="15.75" customHeight="1">
      <c r="A97" s="589"/>
      <c r="C97" s="584"/>
      <c r="D97" s="584"/>
      <c r="E97" s="584"/>
      <c r="F97" s="584"/>
      <c r="G97" s="585"/>
      <c r="H97" s="586"/>
      <c r="I97" s="587"/>
      <c r="J97" s="588"/>
      <c r="K97" s="588"/>
      <c r="L97" s="584"/>
      <c r="M97" s="584"/>
      <c r="N97" s="586"/>
      <c r="O97" s="587"/>
      <c r="P97" s="588"/>
      <c r="Q97" s="588"/>
      <c r="R97" s="584"/>
    </row>
    <row r="98" spans="1:18" ht="15.75" customHeight="1">
      <c r="A98" s="589"/>
      <c r="C98" s="584"/>
      <c r="D98" s="584"/>
      <c r="E98" s="584"/>
      <c r="F98" s="584"/>
      <c r="G98" s="585"/>
      <c r="H98" s="586"/>
      <c r="I98" s="587"/>
      <c r="J98" s="588"/>
      <c r="K98" s="588"/>
      <c r="L98" s="584"/>
      <c r="M98" s="584"/>
      <c r="N98" s="586"/>
      <c r="O98" s="587"/>
      <c r="P98" s="588"/>
      <c r="Q98" s="588"/>
      <c r="R98" s="584"/>
    </row>
    <row r="99" spans="1:18" ht="15.75" customHeight="1">
      <c r="A99" s="589"/>
      <c r="C99" s="584"/>
      <c r="D99" s="584"/>
      <c r="E99" s="584"/>
      <c r="F99" s="584"/>
      <c r="G99" s="585"/>
      <c r="H99" s="586"/>
      <c r="I99" s="587"/>
      <c r="J99" s="588"/>
      <c r="K99" s="588"/>
      <c r="L99" s="584"/>
      <c r="M99" s="584"/>
      <c r="N99" s="586"/>
      <c r="O99" s="587"/>
      <c r="P99" s="588"/>
      <c r="Q99" s="588"/>
      <c r="R99" s="584"/>
    </row>
    <row r="100" spans="1:18" ht="15.75" customHeight="1">
      <c r="A100" s="589"/>
      <c r="C100" s="584"/>
      <c r="D100" s="584"/>
      <c r="E100" s="584"/>
      <c r="F100" s="584"/>
      <c r="G100" s="585"/>
      <c r="H100" s="586"/>
      <c r="I100" s="587"/>
      <c r="J100" s="588"/>
      <c r="K100" s="588"/>
      <c r="L100" s="584"/>
      <c r="M100" s="584"/>
      <c r="N100" s="586"/>
      <c r="O100" s="587"/>
      <c r="P100" s="588"/>
      <c r="Q100" s="588"/>
      <c r="R100" s="584"/>
    </row>
    <row r="101" spans="1:18" ht="15.75" customHeight="1">
      <c r="A101" s="589"/>
      <c r="C101" s="584"/>
      <c r="D101" s="584"/>
      <c r="E101" s="584"/>
      <c r="F101" s="584"/>
      <c r="G101" s="585"/>
      <c r="H101" s="586"/>
      <c r="I101" s="587"/>
      <c r="J101" s="588"/>
      <c r="K101" s="588"/>
      <c r="L101" s="584"/>
      <c r="M101" s="584"/>
      <c r="N101" s="586"/>
      <c r="O101" s="587"/>
      <c r="P101" s="588"/>
      <c r="Q101" s="588"/>
      <c r="R101" s="584"/>
    </row>
    <row r="102" spans="1:18" ht="15.75" customHeight="1">
      <c r="A102" s="589"/>
      <c r="C102" s="584"/>
      <c r="D102" s="584"/>
      <c r="E102" s="584"/>
      <c r="F102" s="584"/>
      <c r="G102" s="585"/>
      <c r="H102" s="586"/>
      <c r="I102" s="587"/>
      <c r="J102" s="588"/>
      <c r="K102" s="588"/>
      <c r="L102" s="584"/>
      <c r="M102" s="584"/>
      <c r="N102" s="586"/>
      <c r="O102" s="587"/>
      <c r="P102" s="588"/>
      <c r="Q102" s="588"/>
      <c r="R102" s="584"/>
    </row>
    <row r="103" spans="1:18" ht="15.75" customHeight="1">
      <c r="A103" s="589"/>
      <c r="C103" s="584"/>
      <c r="D103" s="584"/>
      <c r="E103" s="584"/>
      <c r="F103" s="584"/>
      <c r="G103" s="585"/>
      <c r="H103" s="586"/>
      <c r="I103" s="587"/>
      <c r="J103" s="588"/>
      <c r="K103" s="588"/>
      <c r="L103" s="584"/>
      <c r="M103" s="584"/>
      <c r="N103" s="586"/>
      <c r="O103" s="587"/>
      <c r="P103" s="588"/>
      <c r="Q103" s="588"/>
      <c r="R103" s="584"/>
    </row>
    <row r="104" spans="1:18" ht="15.75" customHeight="1">
      <c r="A104" s="589"/>
      <c r="C104" s="584"/>
      <c r="D104" s="584"/>
      <c r="E104" s="584"/>
      <c r="F104" s="584"/>
      <c r="G104" s="585"/>
      <c r="H104" s="586"/>
      <c r="I104" s="587"/>
      <c r="J104" s="588"/>
      <c r="K104" s="588"/>
      <c r="L104" s="584"/>
      <c r="M104" s="584"/>
      <c r="N104" s="586"/>
      <c r="O104" s="587"/>
      <c r="P104" s="588"/>
      <c r="Q104" s="588"/>
      <c r="R104" s="584"/>
    </row>
    <row r="105" spans="1:18" ht="15.75" customHeight="1">
      <c r="A105" s="589"/>
      <c r="C105" s="584"/>
      <c r="D105" s="584"/>
      <c r="E105" s="584"/>
      <c r="F105" s="584"/>
      <c r="G105" s="585"/>
      <c r="H105" s="586"/>
      <c r="I105" s="587"/>
      <c r="J105" s="588"/>
      <c r="K105" s="588"/>
      <c r="L105" s="584"/>
      <c r="M105" s="584"/>
      <c r="N105" s="586"/>
      <c r="O105" s="587"/>
      <c r="P105" s="588"/>
      <c r="Q105" s="588"/>
      <c r="R105" s="584"/>
    </row>
    <row r="106" spans="1:18" ht="15.75" customHeight="1">
      <c r="A106" s="589"/>
      <c r="C106" s="584"/>
      <c r="D106" s="584"/>
      <c r="E106" s="584"/>
      <c r="F106" s="584"/>
      <c r="G106" s="585"/>
      <c r="H106" s="586"/>
      <c r="I106" s="587"/>
      <c r="J106" s="588"/>
      <c r="K106" s="588"/>
      <c r="L106" s="584"/>
      <c r="M106" s="584"/>
      <c r="N106" s="586"/>
      <c r="O106" s="587"/>
      <c r="P106" s="588"/>
      <c r="Q106" s="588"/>
      <c r="R106" s="584"/>
    </row>
    <row r="107" spans="1:18" ht="15.75" customHeight="1">
      <c r="A107" s="589"/>
      <c r="C107" s="584"/>
      <c r="D107" s="584"/>
      <c r="E107" s="584"/>
      <c r="F107" s="584"/>
      <c r="G107" s="585"/>
      <c r="H107" s="586"/>
      <c r="I107" s="587"/>
      <c r="J107" s="588"/>
      <c r="K107" s="588"/>
      <c r="L107" s="584"/>
      <c r="M107" s="584"/>
      <c r="N107" s="586"/>
      <c r="O107" s="587"/>
      <c r="P107" s="588"/>
      <c r="Q107" s="588"/>
      <c r="R107" s="584"/>
    </row>
    <row r="108" spans="1:18" ht="15.75" customHeight="1">
      <c r="A108" s="589"/>
      <c r="C108" s="584"/>
      <c r="D108" s="584"/>
      <c r="E108" s="584"/>
      <c r="F108" s="584"/>
      <c r="G108" s="585"/>
      <c r="H108" s="586"/>
      <c r="I108" s="587"/>
      <c r="J108" s="588"/>
      <c r="K108" s="588"/>
      <c r="L108" s="584"/>
      <c r="M108" s="584"/>
      <c r="N108" s="586"/>
      <c r="O108" s="587"/>
      <c r="P108" s="588"/>
      <c r="Q108" s="588"/>
      <c r="R108" s="584"/>
    </row>
    <row r="109" spans="1:18" ht="15.75" customHeight="1">
      <c r="A109" s="589"/>
      <c r="C109" s="584"/>
      <c r="D109" s="584"/>
      <c r="E109" s="584"/>
      <c r="F109" s="584"/>
      <c r="G109" s="585"/>
      <c r="H109" s="586"/>
      <c r="I109" s="587"/>
      <c r="J109" s="588"/>
      <c r="K109" s="588"/>
      <c r="L109" s="584"/>
      <c r="M109" s="584"/>
      <c r="N109" s="586"/>
      <c r="O109" s="587"/>
      <c r="P109" s="588"/>
      <c r="Q109" s="588"/>
      <c r="R109" s="584"/>
    </row>
    <row r="110" spans="1:18" ht="15.75" customHeight="1">
      <c r="A110" s="589"/>
      <c r="C110" s="584"/>
      <c r="D110" s="584"/>
      <c r="E110" s="584"/>
      <c r="F110" s="584"/>
      <c r="G110" s="585"/>
      <c r="H110" s="586"/>
      <c r="I110" s="587"/>
      <c r="J110" s="588"/>
      <c r="K110" s="588"/>
      <c r="L110" s="584"/>
      <c r="M110" s="584"/>
      <c r="N110" s="586"/>
      <c r="O110" s="587"/>
      <c r="P110" s="588"/>
      <c r="Q110" s="588"/>
      <c r="R110" s="584"/>
    </row>
    <row r="111" spans="1:18" ht="15.75" customHeight="1">
      <c r="A111" s="589"/>
      <c r="C111" s="584"/>
      <c r="D111" s="584"/>
      <c r="E111" s="584"/>
      <c r="F111" s="584"/>
      <c r="G111" s="585"/>
      <c r="H111" s="586"/>
      <c r="I111" s="587"/>
      <c r="J111" s="588"/>
      <c r="K111" s="588"/>
      <c r="L111" s="584"/>
      <c r="M111" s="584"/>
      <c r="N111" s="586"/>
      <c r="O111" s="587"/>
      <c r="P111" s="588"/>
      <c r="Q111" s="588"/>
      <c r="R111" s="584"/>
    </row>
    <row r="112" spans="1:18" ht="15.75" customHeight="1">
      <c r="A112" s="589"/>
      <c r="C112" s="584"/>
      <c r="D112" s="584"/>
      <c r="E112" s="584"/>
      <c r="F112" s="584"/>
      <c r="G112" s="585"/>
      <c r="H112" s="586"/>
      <c r="I112" s="587"/>
      <c r="J112" s="588"/>
      <c r="K112" s="588"/>
      <c r="L112" s="584"/>
      <c r="M112" s="584"/>
      <c r="N112" s="586"/>
      <c r="O112" s="587"/>
      <c r="P112" s="588"/>
      <c r="Q112" s="588"/>
      <c r="R112" s="584"/>
    </row>
    <row r="113" spans="1:18" ht="15.75" customHeight="1">
      <c r="A113" s="589"/>
      <c r="C113" s="584"/>
      <c r="D113" s="584"/>
      <c r="E113" s="584"/>
      <c r="F113" s="584"/>
      <c r="G113" s="585"/>
      <c r="H113" s="586"/>
      <c r="I113" s="587"/>
      <c r="J113" s="588"/>
      <c r="K113" s="588"/>
      <c r="L113" s="584"/>
      <c r="M113" s="584"/>
      <c r="N113" s="586"/>
      <c r="O113" s="587"/>
      <c r="P113" s="588"/>
      <c r="Q113" s="588"/>
      <c r="R113" s="584"/>
    </row>
    <row r="114" spans="1:18" ht="15.75" customHeight="1">
      <c r="A114" s="589"/>
      <c r="C114" s="584"/>
      <c r="D114" s="584"/>
      <c r="E114" s="584"/>
      <c r="F114" s="584"/>
      <c r="G114" s="585"/>
      <c r="H114" s="586"/>
      <c r="I114" s="587"/>
      <c r="J114" s="588"/>
      <c r="K114" s="588"/>
      <c r="L114" s="584"/>
      <c r="M114" s="584"/>
      <c r="N114" s="586"/>
      <c r="O114" s="587"/>
      <c r="P114" s="588"/>
      <c r="Q114" s="588"/>
      <c r="R114" s="584"/>
    </row>
    <row r="115" spans="1:18" ht="15.75" customHeight="1">
      <c r="A115" s="589"/>
      <c r="C115" s="584"/>
      <c r="D115" s="584"/>
      <c r="E115" s="584"/>
      <c r="F115" s="584"/>
      <c r="G115" s="585"/>
      <c r="H115" s="586"/>
      <c r="I115" s="587"/>
      <c r="J115" s="588"/>
      <c r="K115" s="588"/>
      <c r="L115" s="584"/>
      <c r="M115" s="584"/>
      <c r="N115" s="586"/>
      <c r="O115" s="587"/>
      <c r="P115" s="588"/>
      <c r="Q115" s="588"/>
      <c r="R115" s="584"/>
    </row>
    <row r="116" spans="1:18" ht="15.75" customHeight="1">
      <c r="A116" s="589"/>
      <c r="C116" s="584"/>
      <c r="D116" s="584"/>
      <c r="E116" s="584"/>
      <c r="F116" s="584"/>
      <c r="G116" s="585"/>
      <c r="H116" s="586"/>
      <c r="I116" s="587"/>
      <c r="J116" s="588"/>
      <c r="K116" s="588"/>
      <c r="L116" s="584"/>
      <c r="M116" s="584"/>
      <c r="N116" s="586"/>
      <c r="O116" s="587"/>
      <c r="P116" s="588"/>
      <c r="Q116" s="588"/>
      <c r="R116" s="584"/>
    </row>
    <row r="117" spans="1:18" ht="15.75" customHeight="1">
      <c r="A117" s="589"/>
      <c r="C117" s="584"/>
      <c r="D117" s="584"/>
      <c r="E117" s="584"/>
      <c r="F117" s="584"/>
      <c r="G117" s="585"/>
      <c r="H117" s="586"/>
      <c r="I117" s="587"/>
      <c r="J117" s="588"/>
      <c r="K117" s="588"/>
      <c r="L117" s="584"/>
      <c r="M117" s="584"/>
      <c r="N117" s="586"/>
      <c r="O117" s="587"/>
      <c r="P117" s="588"/>
      <c r="Q117" s="588"/>
      <c r="R117" s="584"/>
    </row>
    <row r="118" spans="1:18" ht="15.75" customHeight="1">
      <c r="A118" s="589"/>
      <c r="C118" s="584"/>
      <c r="D118" s="584"/>
      <c r="E118" s="584"/>
      <c r="F118" s="584"/>
      <c r="G118" s="585"/>
      <c r="H118" s="586"/>
      <c r="I118" s="587"/>
      <c r="J118" s="588"/>
      <c r="K118" s="588"/>
      <c r="L118" s="584"/>
      <c r="M118" s="584"/>
      <c r="N118" s="586"/>
      <c r="O118" s="587"/>
      <c r="P118" s="588"/>
      <c r="Q118" s="588"/>
      <c r="R118" s="584"/>
    </row>
    <row r="119" spans="1:18" ht="15.75" customHeight="1">
      <c r="A119" s="589"/>
      <c r="C119" s="584"/>
      <c r="D119" s="584"/>
      <c r="E119" s="584"/>
      <c r="F119" s="584"/>
      <c r="G119" s="585"/>
      <c r="H119" s="586"/>
      <c r="I119" s="587"/>
      <c r="J119" s="588"/>
      <c r="K119" s="588"/>
      <c r="L119" s="584"/>
      <c r="M119" s="584"/>
      <c r="N119" s="586"/>
      <c r="O119" s="587"/>
      <c r="P119" s="588"/>
      <c r="Q119" s="588"/>
      <c r="R119" s="584"/>
    </row>
    <row r="120" spans="1:18" ht="15.75" customHeight="1">
      <c r="A120" s="589"/>
      <c r="C120" s="584"/>
      <c r="D120" s="584"/>
      <c r="E120" s="584"/>
      <c r="F120" s="584"/>
      <c r="G120" s="585"/>
      <c r="H120" s="586"/>
      <c r="I120" s="587"/>
      <c r="J120" s="588"/>
      <c r="K120" s="588"/>
      <c r="L120" s="584"/>
      <c r="M120" s="584"/>
      <c r="N120" s="586"/>
      <c r="O120" s="587"/>
      <c r="P120" s="588"/>
      <c r="Q120" s="588"/>
      <c r="R120" s="584"/>
    </row>
    <row r="121" spans="1:18" ht="15.75" customHeight="1">
      <c r="A121" s="589"/>
      <c r="C121" s="584"/>
      <c r="D121" s="584"/>
      <c r="E121" s="584"/>
      <c r="F121" s="584"/>
      <c r="G121" s="585"/>
      <c r="H121" s="586"/>
      <c r="I121" s="587"/>
      <c r="J121" s="588"/>
      <c r="K121" s="588"/>
      <c r="L121" s="584"/>
      <c r="M121" s="584"/>
      <c r="N121" s="586"/>
      <c r="O121" s="587"/>
      <c r="P121" s="588"/>
      <c r="Q121" s="588"/>
      <c r="R121" s="584"/>
    </row>
    <row r="122" spans="1:18" ht="15.75" customHeight="1">
      <c r="A122" s="589"/>
      <c r="C122" s="584"/>
      <c r="D122" s="584"/>
      <c r="E122" s="584"/>
      <c r="F122" s="584"/>
      <c r="G122" s="585"/>
      <c r="H122" s="586"/>
      <c r="I122" s="587"/>
      <c r="J122" s="588"/>
      <c r="K122" s="588"/>
      <c r="L122" s="584"/>
      <c r="M122" s="584"/>
      <c r="N122" s="586"/>
      <c r="O122" s="587"/>
      <c r="P122" s="588"/>
      <c r="Q122" s="588"/>
      <c r="R122" s="584"/>
    </row>
    <row r="123" spans="1:18" ht="15.75" customHeight="1">
      <c r="A123" s="589"/>
      <c r="C123" s="584"/>
      <c r="D123" s="584"/>
      <c r="E123" s="584"/>
      <c r="F123" s="584"/>
      <c r="G123" s="585"/>
      <c r="H123" s="586"/>
      <c r="I123" s="587"/>
      <c r="J123" s="588"/>
      <c r="K123" s="588"/>
      <c r="L123" s="584"/>
      <c r="M123" s="584"/>
      <c r="N123" s="586"/>
      <c r="O123" s="587"/>
      <c r="P123" s="588"/>
      <c r="Q123" s="588"/>
      <c r="R123" s="584"/>
    </row>
    <row r="124" spans="1:18" ht="15.75" customHeight="1">
      <c r="A124" s="589"/>
      <c r="C124" s="584"/>
      <c r="D124" s="584"/>
      <c r="E124" s="584"/>
      <c r="F124" s="584"/>
      <c r="G124" s="585"/>
      <c r="H124" s="586"/>
      <c r="I124" s="587"/>
      <c r="J124" s="588"/>
      <c r="K124" s="588"/>
      <c r="L124" s="584"/>
      <c r="M124" s="584"/>
      <c r="N124" s="586"/>
      <c r="O124" s="587"/>
      <c r="P124" s="588"/>
      <c r="Q124" s="588"/>
      <c r="R124" s="584"/>
    </row>
    <row r="125" spans="1:18" ht="15.75" customHeight="1">
      <c r="A125" s="589"/>
      <c r="C125" s="584"/>
      <c r="D125" s="584"/>
      <c r="E125" s="584"/>
      <c r="F125" s="584"/>
      <c r="G125" s="585"/>
      <c r="H125" s="586"/>
      <c r="I125" s="587"/>
      <c r="J125" s="588"/>
      <c r="K125" s="588"/>
      <c r="L125" s="584"/>
      <c r="M125" s="584"/>
      <c r="N125" s="586"/>
      <c r="O125" s="587"/>
      <c r="P125" s="588"/>
      <c r="Q125" s="588"/>
      <c r="R125" s="584"/>
    </row>
    <row r="126" spans="1:18" ht="15.75" customHeight="1">
      <c r="A126" s="589"/>
      <c r="C126" s="584"/>
      <c r="D126" s="584"/>
      <c r="E126" s="584"/>
      <c r="F126" s="584"/>
      <c r="G126" s="585"/>
      <c r="H126" s="586"/>
      <c r="I126" s="587"/>
      <c r="J126" s="588"/>
      <c r="K126" s="588"/>
      <c r="L126" s="584"/>
      <c r="M126" s="584"/>
      <c r="N126" s="586"/>
      <c r="O126" s="587"/>
      <c r="P126" s="588"/>
      <c r="Q126" s="588"/>
      <c r="R126" s="584"/>
    </row>
    <row r="127" spans="1:18" ht="15.75" customHeight="1">
      <c r="A127" s="589"/>
      <c r="C127" s="584"/>
      <c r="D127" s="584"/>
      <c r="E127" s="584"/>
      <c r="F127" s="584"/>
      <c r="G127" s="585"/>
      <c r="H127" s="586"/>
      <c r="I127" s="587"/>
      <c r="J127" s="588"/>
      <c r="K127" s="588"/>
      <c r="L127" s="584"/>
      <c r="M127" s="584"/>
      <c r="N127" s="586"/>
      <c r="O127" s="587"/>
      <c r="P127" s="588"/>
      <c r="Q127" s="588"/>
      <c r="R127" s="584"/>
    </row>
    <row r="128" spans="1:18" ht="15.75" customHeight="1">
      <c r="A128" s="589"/>
      <c r="C128" s="584"/>
      <c r="D128" s="584"/>
      <c r="E128" s="584"/>
      <c r="F128" s="584"/>
      <c r="G128" s="585"/>
      <c r="H128" s="586"/>
      <c r="I128" s="587"/>
      <c r="J128" s="588"/>
      <c r="K128" s="588"/>
      <c r="L128" s="584"/>
      <c r="M128" s="584"/>
      <c r="N128" s="586"/>
      <c r="O128" s="587"/>
      <c r="P128" s="588"/>
      <c r="Q128" s="588"/>
      <c r="R128" s="584"/>
    </row>
    <row r="129" spans="1:18" ht="15.75" customHeight="1">
      <c r="A129" s="589"/>
      <c r="C129" s="584"/>
      <c r="D129" s="584"/>
      <c r="E129" s="584"/>
      <c r="F129" s="584"/>
      <c r="G129" s="585"/>
      <c r="H129" s="586"/>
      <c r="I129" s="587"/>
      <c r="J129" s="588"/>
      <c r="K129" s="588"/>
      <c r="L129" s="584"/>
      <c r="M129" s="584"/>
      <c r="N129" s="586"/>
      <c r="O129" s="587"/>
      <c r="P129" s="588"/>
      <c r="Q129" s="588"/>
      <c r="R129" s="584"/>
    </row>
    <row r="130" spans="1:18" ht="15.75" customHeight="1">
      <c r="A130" s="589"/>
      <c r="C130" s="584"/>
      <c r="D130" s="584"/>
      <c r="E130" s="584"/>
      <c r="F130" s="584"/>
      <c r="G130" s="585"/>
      <c r="H130" s="586"/>
      <c r="I130" s="587"/>
      <c r="J130" s="588"/>
      <c r="K130" s="588"/>
      <c r="L130" s="584"/>
      <c r="M130" s="584"/>
      <c r="N130" s="586"/>
      <c r="O130" s="587"/>
      <c r="P130" s="588"/>
      <c r="Q130" s="588"/>
      <c r="R130" s="584"/>
    </row>
    <row r="131" spans="1:18" ht="15.75" customHeight="1">
      <c r="A131" s="589"/>
      <c r="C131" s="584"/>
      <c r="D131" s="584"/>
      <c r="E131" s="584"/>
      <c r="F131" s="584"/>
      <c r="G131" s="585"/>
      <c r="H131" s="586"/>
      <c r="I131" s="587"/>
      <c r="J131" s="588"/>
      <c r="K131" s="588"/>
      <c r="L131" s="584"/>
      <c r="M131" s="584"/>
      <c r="N131" s="586"/>
      <c r="O131" s="587"/>
      <c r="P131" s="588"/>
      <c r="Q131" s="588"/>
      <c r="R131" s="584"/>
    </row>
    <row r="132" spans="1:18" ht="15.75" customHeight="1">
      <c r="A132" s="589"/>
      <c r="C132" s="584"/>
      <c r="D132" s="584"/>
      <c r="E132" s="584"/>
      <c r="F132" s="584"/>
      <c r="G132" s="585"/>
      <c r="H132" s="586"/>
      <c r="I132" s="587"/>
      <c r="J132" s="588"/>
      <c r="K132" s="588"/>
      <c r="L132" s="584"/>
      <c r="M132" s="584"/>
      <c r="N132" s="586"/>
      <c r="O132" s="587"/>
      <c r="P132" s="588"/>
      <c r="Q132" s="588"/>
      <c r="R132" s="584"/>
    </row>
    <row r="133" spans="1:18" ht="15.75" customHeight="1">
      <c r="A133" s="589"/>
      <c r="C133" s="584"/>
      <c r="D133" s="584"/>
      <c r="E133" s="584"/>
      <c r="F133" s="584"/>
      <c r="G133" s="585"/>
      <c r="H133" s="586"/>
      <c r="I133" s="587"/>
      <c r="J133" s="588"/>
      <c r="K133" s="588"/>
      <c r="L133" s="584"/>
      <c r="M133" s="584"/>
      <c r="N133" s="586"/>
      <c r="O133" s="587"/>
      <c r="P133" s="588"/>
      <c r="Q133" s="588"/>
      <c r="R133" s="584"/>
    </row>
    <row r="134" spans="1:18" ht="15.75" customHeight="1">
      <c r="A134" s="589"/>
      <c r="C134" s="584"/>
      <c r="D134" s="584"/>
      <c r="E134" s="584"/>
      <c r="F134" s="584"/>
      <c r="G134" s="585"/>
      <c r="H134" s="586"/>
      <c r="I134" s="587"/>
      <c r="J134" s="588"/>
      <c r="K134" s="588"/>
      <c r="L134" s="584"/>
      <c r="M134" s="584"/>
      <c r="N134" s="586"/>
      <c r="O134" s="587"/>
      <c r="P134" s="588"/>
      <c r="Q134" s="588"/>
      <c r="R134" s="584"/>
    </row>
    <row r="135" spans="1:18" ht="15.75" customHeight="1">
      <c r="A135" s="589"/>
      <c r="C135" s="584"/>
      <c r="D135" s="584"/>
      <c r="E135" s="584"/>
      <c r="F135" s="584"/>
      <c r="G135" s="585"/>
      <c r="H135" s="586"/>
      <c r="I135" s="587"/>
      <c r="J135" s="588"/>
      <c r="K135" s="588"/>
      <c r="L135" s="584"/>
      <c r="M135" s="584"/>
      <c r="N135" s="586"/>
      <c r="O135" s="587"/>
      <c r="P135" s="588"/>
      <c r="Q135" s="588"/>
      <c r="R135" s="584"/>
    </row>
    <row r="136" spans="1:18" ht="15.75" customHeight="1">
      <c r="A136" s="589"/>
      <c r="C136" s="584"/>
      <c r="D136" s="584"/>
      <c r="E136" s="584"/>
      <c r="F136" s="584"/>
      <c r="G136" s="585"/>
      <c r="H136" s="586"/>
      <c r="I136" s="587"/>
      <c r="J136" s="588"/>
      <c r="K136" s="588"/>
      <c r="L136" s="584"/>
      <c r="M136" s="584"/>
      <c r="N136" s="586"/>
      <c r="O136" s="587"/>
      <c r="P136" s="588"/>
      <c r="Q136" s="588"/>
      <c r="R136" s="584"/>
    </row>
    <row r="137" spans="1:18" ht="15.75" customHeight="1">
      <c r="A137" s="589"/>
      <c r="C137" s="584"/>
      <c r="D137" s="584"/>
      <c r="E137" s="584"/>
      <c r="F137" s="584"/>
      <c r="G137" s="585"/>
      <c r="H137" s="586"/>
      <c r="I137" s="587"/>
      <c r="J137" s="588"/>
      <c r="K137" s="588"/>
      <c r="L137" s="584"/>
      <c r="M137" s="584"/>
      <c r="N137" s="586"/>
      <c r="O137" s="587"/>
      <c r="P137" s="588"/>
      <c r="Q137" s="588"/>
      <c r="R137" s="584"/>
    </row>
    <row r="138" spans="1:18" ht="15.75" customHeight="1">
      <c r="A138" s="589"/>
      <c r="C138" s="584"/>
      <c r="D138" s="584"/>
      <c r="E138" s="584"/>
      <c r="F138" s="584"/>
      <c r="G138" s="585"/>
      <c r="H138" s="586"/>
      <c r="I138" s="587"/>
      <c r="J138" s="588"/>
      <c r="K138" s="588"/>
      <c r="L138" s="584"/>
      <c r="M138" s="584"/>
      <c r="N138" s="586"/>
      <c r="O138" s="587"/>
      <c r="P138" s="588"/>
      <c r="Q138" s="588"/>
      <c r="R138" s="584"/>
    </row>
    <row r="139" spans="1:18" ht="15.75" customHeight="1">
      <c r="A139" s="589"/>
      <c r="C139" s="584"/>
      <c r="D139" s="584"/>
      <c r="E139" s="584"/>
      <c r="F139" s="584"/>
      <c r="G139" s="585"/>
      <c r="H139" s="586"/>
      <c r="I139" s="587"/>
      <c r="J139" s="588"/>
      <c r="K139" s="588"/>
      <c r="L139" s="584"/>
      <c r="M139" s="584"/>
      <c r="N139" s="586"/>
      <c r="O139" s="587"/>
      <c r="P139" s="588"/>
      <c r="Q139" s="588"/>
      <c r="R139" s="584"/>
    </row>
    <row r="140" spans="1:18" ht="15.75" customHeight="1">
      <c r="A140" s="589"/>
      <c r="C140" s="584"/>
      <c r="D140" s="584"/>
      <c r="E140" s="584"/>
      <c r="F140" s="584"/>
      <c r="G140" s="585"/>
      <c r="H140" s="586"/>
      <c r="I140" s="587"/>
      <c r="J140" s="588"/>
      <c r="K140" s="588"/>
      <c r="L140" s="584"/>
      <c r="M140" s="584"/>
      <c r="N140" s="586"/>
      <c r="O140" s="587"/>
      <c r="P140" s="588"/>
      <c r="Q140" s="588"/>
      <c r="R140" s="584"/>
    </row>
    <row r="141" spans="1:18" ht="15.75" customHeight="1">
      <c r="A141" s="589"/>
      <c r="C141" s="584"/>
      <c r="D141" s="584"/>
      <c r="E141" s="584"/>
      <c r="F141" s="584"/>
      <c r="G141" s="585"/>
      <c r="H141" s="586"/>
      <c r="I141" s="587"/>
      <c r="J141" s="588"/>
      <c r="K141" s="588"/>
      <c r="L141" s="584"/>
      <c r="M141" s="584"/>
      <c r="N141" s="586"/>
      <c r="O141" s="587"/>
      <c r="P141" s="588"/>
      <c r="Q141" s="588"/>
      <c r="R141" s="584"/>
    </row>
    <row r="142" spans="1:18" ht="15.75" customHeight="1">
      <c r="A142" s="589"/>
      <c r="C142" s="584"/>
      <c r="D142" s="584"/>
      <c r="E142" s="584"/>
      <c r="F142" s="584"/>
      <c r="G142" s="585"/>
      <c r="H142" s="586"/>
      <c r="I142" s="587"/>
      <c r="J142" s="588"/>
      <c r="K142" s="588"/>
      <c r="L142" s="584"/>
      <c r="M142" s="584"/>
      <c r="N142" s="586"/>
      <c r="O142" s="587"/>
      <c r="P142" s="588"/>
      <c r="Q142" s="588"/>
      <c r="R142" s="584"/>
    </row>
    <row r="143" spans="1:18" ht="15.75" customHeight="1">
      <c r="A143" s="589"/>
      <c r="C143" s="584"/>
      <c r="D143" s="584"/>
      <c r="E143" s="584"/>
      <c r="F143" s="584"/>
      <c r="G143" s="585"/>
      <c r="H143" s="586"/>
      <c r="I143" s="587"/>
      <c r="J143" s="588"/>
      <c r="K143" s="588"/>
      <c r="L143" s="584"/>
      <c r="M143" s="584"/>
      <c r="N143" s="586"/>
      <c r="O143" s="587"/>
      <c r="P143" s="588"/>
      <c r="Q143" s="588"/>
      <c r="R143" s="584"/>
    </row>
    <row r="144" spans="1:18" ht="15.75" customHeight="1">
      <c r="A144" s="589"/>
      <c r="C144" s="584"/>
      <c r="D144" s="584"/>
      <c r="E144" s="584"/>
      <c r="F144" s="584"/>
      <c r="G144" s="585"/>
      <c r="H144" s="586"/>
      <c r="I144" s="587"/>
      <c r="J144" s="588"/>
      <c r="K144" s="588"/>
      <c r="L144" s="584"/>
      <c r="M144" s="584"/>
      <c r="N144" s="586"/>
      <c r="O144" s="587"/>
      <c r="P144" s="588"/>
      <c r="Q144" s="588"/>
      <c r="R144" s="584"/>
    </row>
    <row r="145" spans="1:18" ht="15.75" customHeight="1">
      <c r="A145" s="589"/>
      <c r="C145" s="584"/>
      <c r="D145" s="584"/>
      <c r="E145" s="584"/>
      <c r="F145" s="584"/>
      <c r="G145" s="585"/>
      <c r="H145" s="586"/>
      <c r="I145" s="587"/>
      <c r="J145" s="588"/>
      <c r="K145" s="588"/>
      <c r="L145" s="584"/>
      <c r="M145" s="584"/>
      <c r="N145" s="586"/>
      <c r="O145" s="587"/>
      <c r="P145" s="588"/>
      <c r="Q145" s="588"/>
      <c r="R145" s="584"/>
    </row>
    <row r="146" spans="1:18" ht="15.75" customHeight="1">
      <c r="A146" s="589"/>
      <c r="C146" s="584"/>
      <c r="D146" s="584"/>
      <c r="E146" s="584"/>
      <c r="F146" s="584"/>
      <c r="G146" s="585"/>
      <c r="H146" s="586"/>
      <c r="I146" s="587"/>
      <c r="J146" s="588"/>
      <c r="K146" s="588"/>
      <c r="L146" s="584"/>
      <c r="M146" s="584"/>
      <c r="N146" s="586"/>
      <c r="O146" s="587"/>
      <c r="P146" s="588"/>
      <c r="Q146" s="588"/>
      <c r="R146" s="584"/>
    </row>
    <row r="147" spans="1:18" ht="15.75" customHeight="1">
      <c r="A147" s="589"/>
      <c r="C147" s="584"/>
      <c r="D147" s="584"/>
      <c r="E147" s="584"/>
      <c r="F147" s="584"/>
      <c r="G147" s="585"/>
      <c r="H147" s="586"/>
      <c r="I147" s="587"/>
      <c r="J147" s="588"/>
      <c r="K147" s="588"/>
      <c r="L147" s="584"/>
      <c r="M147" s="584"/>
      <c r="N147" s="586"/>
      <c r="O147" s="587"/>
      <c r="P147" s="588"/>
      <c r="Q147" s="588"/>
      <c r="R147" s="584"/>
    </row>
    <row r="148" spans="1:18" ht="15.75" customHeight="1">
      <c r="A148" s="589"/>
      <c r="C148" s="584"/>
      <c r="D148" s="584"/>
      <c r="E148" s="584"/>
      <c r="F148" s="584"/>
      <c r="G148" s="585"/>
      <c r="H148" s="586"/>
      <c r="I148" s="587"/>
      <c r="J148" s="588"/>
      <c r="K148" s="588"/>
      <c r="L148" s="584"/>
      <c r="M148" s="584"/>
      <c r="N148" s="586"/>
      <c r="O148" s="587"/>
      <c r="P148" s="588"/>
      <c r="Q148" s="588"/>
      <c r="R148" s="584"/>
    </row>
    <row r="149" spans="1:18" ht="15.75" customHeight="1">
      <c r="A149" s="589"/>
      <c r="C149" s="584"/>
      <c r="D149" s="584"/>
      <c r="E149" s="584"/>
      <c r="F149" s="584"/>
      <c r="G149" s="585"/>
      <c r="H149" s="586"/>
      <c r="I149" s="587"/>
      <c r="J149" s="588"/>
      <c r="K149" s="588"/>
      <c r="L149" s="584"/>
      <c r="M149" s="584"/>
      <c r="N149" s="586"/>
      <c r="O149" s="587"/>
      <c r="P149" s="588"/>
      <c r="Q149" s="588"/>
      <c r="R149" s="584"/>
    </row>
    <row r="150" spans="1:18" ht="15.75" customHeight="1">
      <c r="A150" s="589"/>
      <c r="C150" s="584"/>
      <c r="D150" s="584"/>
      <c r="E150" s="584"/>
      <c r="F150" s="584"/>
      <c r="G150" s="585"/>
      <c r="H150" s="586"/>
      <c r="I150" s="587"/>
      <c r="J150" s="588"/>
      <c r="K150" s="588"/>
      <c r="L150" s="584"/>
      <c r="M150" s="584"/>
      <c r="N150" s="586"/>
      <c r="O150" s="587"/>
      <c r="P150" s="588"/>
      <c r="Q150" s="588"/>
      <c r="R150" s="584"/>
    </row>
    <row r="151" spans="1:18" ht="15.75" customHeight="1">
      <c r="A151" s="589"/>
      <c r="C151" s="584"/>
      <c r="D151" s="584"/>
      <c r="E151" s="584"/>
      <c r="F151" s="584"/>
      <c r="G151" s="585"/>
      <c r="H151" s="586"/>
      <c r="I151" s="587"/>
      <c r="J151" s="588"/>
      <c r="K151" s="588"/>
      <c r="L151" s="584"/>
      <c r="M151" s="584"/>
      <c r="N151" s="586"/>
      <c r="O151" s="587"/>
      <c r="P151" s="588"/>
      <c r="Q151" s="588"/>
      <c r="R151" s="584"/>
    </row>
    <row r="152" spans="1:18" ht="15.75" customHeight="1">
      <c r="A152" s="589"/>
      <c r="C152" s="584"/>
      <c r="D152" s="584"/>
      <c r="E152" s="584"/>
      <c r="F152" s="584"/>
      <c r="G152" s="585"/>
      <c r="H152" s="586"/>
      <c r="I152" s="587"/>
      <c r="J152" s="588"/>
      <c r="K152" s="588"/>
      <c r="L152" s="584"/>
      <c r="M152" s="584"/>
      <c r="N152" s="586"/>
      <c r="O152" s="587"/>
      <c r="P152" s="588"/>
      <c r="Q152" s="588"/>
      <c r="R152" s="584"/>
    </row>
    <row r="153" spans="1:18" ht="15.75" customHeight="1">
      <c r="A153" s="589"/>
      <c r="C153" s="584"/>
      <c r="D153" s="584"/>
      <c r="E153" s="584"/>
      <c r="F153" s="584"/>
      <c r="G153" s="585"/>
      <c r="H153" s="586"/>
      <c r="I153" s="587"/>
      <c r="J153" s="588"/>
      <c r="K153" s="588"/>
      <c r="L153" s="584"/>
      <c r="M153" s="584"/>
      <c r="N153" s="586"/>
      <c r="O153" s="587"/>
      <c r="P153" s="588"/>
      <c r="Q153" s="588"/>
      <c r="R153" s="584"/>
    </row>
    <row r="154" spans="1:18" ht="15.75" customHeight="1">
      <c r="A154" s="589"/>
      <c r="C154" s="584"/>
      <c r="D154" s="584"/>
      <c r="E154" s="584"/>
      <c r="F154" s="584"/>
      <c r="G154" s="585"/>
      <c r="H154" s="586"/>
      <c r="I154" s="587"/>
      <c r="J154" s="588"/>
      <c r="K154" s="588"/>
      <c r="L154" s="584"/>
      <c r="M154" s="584"/>
      <c r="N154" s="586"/>
      <c r="O154" s="587"/>
      <c r="P154" s="588"/>
      <c r="Q154" s="588"/>
      <c r="R154" s="584"/>
    </row>
    <row r="155" spans="1:18" ht="15.75" customHeight="1">
      <c r="A155" s="589"/>
      <c r="C155" s="584"/>
      <c r="D155" s="584"/>
      <c r="E155" s="584"/>
      <c r="F155" s="584"/>
      <c r="G155" s="585"/>
      <c r="H155" s="586"/>
      <c r="I155" s="587"/>
      <c r="J155" s="588"/>
      <c r="K155" s="588"/>
      <c r="L155" s="584"/>
      <c r="M155" s="584"/>
      <c r="N155" s="586"/>
      <c r="O155" s="587"/>
      <c r="P155" s="588"/>
      <c r="Q155" s="588"/>
      <c r="R155" s="584"/>
    </row>
    <row r="156" spans="1:18" ht="15.75" customHeight="1">
      <c r="A156" s="589"/>
      <c r="C156" s="584"/>
      <c r="D156" s="584"/>
      <c r="E156" s="584"/>
      <c r="F156" s="584"/>
      <c r="G156" s="585"/>
      <c r="H156" s="586"/>
      <c r="I156" s="587"/>
      <c r="J156" s="588"/>
      <c r="K156" s="588"/>
      <c r="L156" s="584"/>
      <c r="M156" s="584"/>
      <c r="N156" s="586"/>
      <c r="O156" s="587"/>
      <c r="P156" s="588"/>
      <c r="Q156" s="588"/>
      <c r="R156" s="584"/>
    </row>
    <row r="157" spans="1:18" ht="15.75" customHeight="1">
      <c r="A157" s="589"/>
      <c r="C157" s="584"/>
      <c r="D157" s="584"/>
      <c r="E157" s="584"/>
      <c r="F157" s="584"/>
      <c r="G157" s="585"/>
      <c r="H157" s="586"/>
      <c r="I157" s="587"/>
      <c r="J157" s="588"/>
      <c r="K157" s="588"/>
      <c r="L157" s="584"/>
      <c r="M157" s="584"/>
      <c r="N157" s="586"/>
      <c r="O157" s="587"/>
      <c r="P157" s="588"/>
      <c r="Q157" s="588"/>
      <c r="R157" s="584"/>
    </row>
    <row r="158" spans="1:18" ht="15.75" customHeight="1">
      <c r="A158" s="589"/>
      <c r="C158" s="584"/>
      <c r="D158" s="584"/>
      <c r="E158" s="584"/>
      <c r="F158" s="584"/>
      <c r="G158" s="585"/>
      <c r="H158" s="586"/>
      <c r="I158" s="587"/>
      <c r="J158" s="588"/>
      <c r="K158" s="588"/>
      <c r="L158" s="584"/>
      <c r="M158" s="584"/>
      <c r="N158" s="586"/>
      <c r="O158" s="587"/>
      <c r="P158" s="588"/>
      <c r="Q158" s="588"/>
      <c r="R158" s="584"/>
    </row>
    <row r="159" spans="1:18" ht="15.75" customHeight="1">
      <c r="A159" s="589"/>
      <c r="C159" s="584"/>
      <c r="D159" s="584"/>
      <c r="E159" s="584"/>
      <c r="F159" s="584"/>
      <c r="G159" s="585"/>
      <c r="H159" s="586"/>
      <c r="I159" s="587"/>
      <c r="J159" s="588"/>
      <c r="K159" s="588"/>
      <c r="L159" s="584"/>
      <c r="M159" s="584"/>
      <c r="N159" s="586"/>
      <c r="O159" s="587"/>
      <c r="P159" s="588"/>
      <c r="Q159" s="588"/>
      <c r="R159" s="584"/>
    </row>
    <row r="160" spans="1:18" ht="15.75" customHeight="1">
      <c r="A160" s="589"/>
      <c r="C160" s="584"/>
      <c r="D160" s="584"/>
      <c r="E160" s="584"/>
      <c r="F160" s="584"/>
      <c r="G160" s="585"/>
      <c r="H160" s="586"/>
      <c r="I160" s="587"/>
      <c r="J160" s="588"/>
      <c r="K160" s="588"/>
      <c r="L160" s="584"/>
      <c r="M160" s="584"/>
      <c r="N160" s="586"/>
      <c r="O160" s="587"/>
      <c r="P160" s="588"/>
      <c r="Q160" s="588"/>
      <c r="R160" s="584"/>
    </row>
    <row r="161" spans="1:18" ht="15.75" customHeight="1">
      <c r="A161" s="589"/>
      <c r="C161" s="584"/>
      <c r="D161" s="584"/>
      <c r="E161" s="584"/>
      <c r="F161" s="584"/>
      <c r="G161" s="585"/>
      <c r="H161" s="586"/>
      <c r="I161" s="587"/>
      <c r="J161" s="588"/>
      <c r="K161" s="588"/>
      <c r="L161" s="584"/>
      <c r="M161" s="584"/>
      <c r="N161" s="586"/>
      <c r="O161" s="587"/>
      <c r="P161" s="588"/>
      <c r="Q161" s="588"/>
      <c r="R161" s="584"/>
    </row>
    <row r="162" spans="1:18" ht="15.75" customHeight="1">
      <c r="A162" s="589"/>
      <c r="C162" s="584"/>
      <c r="D162" s="584"/>
      <c r="E162" s="584"/>
      <c r="F162" s="584"/>
      <c r="G162" s="585"/>
      <c r="H162" s="586"/>
      <c r="I162" s="587"/>
      <c r="J162" s="588"/>
      <c r="K162" s="588"/>
      <c r="L162" s="584"/>
      <c r="M162" s="584"/>
      <c r="N162" s="586"/>
      <c r="O162" s="587"/>
      <c r="P162" s="588"/>
      <c r="Q162" s="588"/>
      <c r="R162" s="584"/>
    </row>
    <row r="163" spans="1:18" ht="15.75" customHeight="1">
      <c r="A163" s="589"/>
      <c r="C163" s="584"/>
      <c r="D163" s="584"/>
      <c r="E163" s="584"/>
      <c r="F163" s="584"/>
      <c r="G163" s="585"/>
      <c r="H163" s="586"/>
      <c r="I163" s="587"/>
      <c r="J163" s="588"/>
      <c r="K163" s="588"/>
      <c r="L163" s="584"/>
      <c r="M163" s="584"/>
      <c r="N163" s="586"/>
      <c r="O163" s="587"/>
      <c r="P163" s="588"/>
      <c r="Q163" s="588"/>
      <c r="R163" s="584"/>
    </row>
    <row r="164" spans="1:18" ht="15.75" customHeight="1">
      <c r="A164" s="589"/>
      <c r="C164" s="584"/>
      <c r="D164" s="584"/>
      <c r="E164" s="584"/>
      <c r="F164" s="584"/>
      <c r="G164" s="585"/>
      <c r="H164" s="586"/>
      <c r="I164" s="587"/>
      <c r="J164" s="588"/>
      <c r="K164" s="588"/>
      <c r="L164" s="584"/>
      <c r="M164" s="584"/>
      <c r="N164" s="586"/>
      <c r="O164" s="587"/>
      <c r="P164" s="588"/>
      <c r="Q164" s="588"/>
      <c r="R164" s="584"/>
    </row>
    <row r="165" spans="1:18" ht="15.75" customHeight="1">
      <c r="A165" s="589"/>
      <c r="C165" s="584"/>
      <c r="D165" s="584"/>
      <c r="E165" s="584"/>
      <c r="F165" s="584"/>
      <c r="G165" s="585"/>
      <c r="H165" s="586"/>
      <c r="I165" s="587"/>
      <c r="J165" s="588"/>
      <c r="K165" s="588"/>
      <c r="L165" s="584"/>
      <c r="M165" s="584"/>
      <c r="N165" s="586"/>
      <c r="O165" s="587"/>
      <c r="P165" s="588"/>
      <c r="Q165" s="588"/>
      <c r="R165" s="584"/>
    </row>
    <row r="166" spans="1:18" ht="15.75" customHeight="1">
      <c r="A166" s="589"/>
      <c r="C166" s="584"/>
      <c r="D166" s="584"/>
      <c r="E166" s="584"/>
      <c r="F166" s="584"/>
      <c r="G166" s="585"/>
      <c r="H166" s="586"/>
      <c r="I166" s="587"/>
      <c r="J166" s="588"/>
      <c r="K166" s="588"/>
      <c r="L166" s="584"/>
      <c r="M166" s="584"/>
      <c r="N166" s="586"/>
      <c r="O166" s="587"/>
      <c r="P166" s="588"/>
      <c r="Q166" s="588"/>
      <c r="R166" s="584"/>
    </row>
    <row r="167" spans="1:18" ht="15.75" customHeight="1">
      <c r="A167" s="589"/>
      <c r="C167" s="584"/>
      <c r="D167" s="584"/>
      <c r="E167" s="584"/>
      <c r="F167" s="584"/>
      <c r="G167" s="585"/>
      <c r="H167" s="586"/>
      <c r="I167" s="587"/>
      <c r="J167" s="588"/>
      <c r="K167" s="588"/>
      <c r="L167" s="584"/>
      <c r="M167" s="584"/>
      <c r="N167" s="586"/>
      <c r="O167" s="587"/>
      <c r="P167" s="588"/>
      <c r="Q167" s="588"/>
      <c r="R167" s="584"/>
    </row>
    <row r="168" spans="1:18" ht="15.75" customHeight="1">
      <c r="A168" s="589"/>
      <c r="C168" s="584"/>
      <c r="D168" s="584"/>
      <c r="E168" s="584"/>
      <c r="F168" s="584"/>
      <c r="G168" s="585"/>
      <c r="H168" s="586"/>
      <c r="I168" s="587"/>
      <c r="J168" s="588"/>
      <c r="K168" s="588"/>
      <c r="L168" s="584"/>
      <c r="M168" s="584"/>
      <c r="N168" s="586"/>
      <c r="O168" s="587"/>
      <c r="P168" s="588"/>
      <c r="Q168" s="588"/>
      <c r="R168" s="584"/>
    </row>
    <row r="169" spans="1:18" ht="15.75" customHeight="1">
      <c r="A169" s="589"/>
      <c r="C169" s="584"/>
      <c r="D169" s="584"/>
      <c r="E169" s="584"/>
      <c r="F169" s="584"/>
      <c r="G169" s="585"/>
      <c r="H169" s="586"/>
      <c r="I169" s="587"/>
      <c r="J169" s="588"/>
      <c r="K169" s="588"/>
      <c r="L169" s="584"/>
      <c r="M169" s="584"/>
      <c r="N169" s="586"/>
      <c r="O169" s="587"/>
      <c r="P169" s="588"/>
      <c r="Q169" s="588"/>
      <c r="R169" s="584"/>
    </row>
    <row r="170" spans="1:18" ht="15.75" customHeight="1">
      <c r="A170" s="589"/>
      <c r="C170" s="584"/>
      <c r="D170" s="584"/>
      <c r="E170" s="584"/>
      <c r="F170" s="584"/>
      <c r="G170" s="585"/>
      <c r="H170" s="586"/>
      <c r="I170" s="587"/>
      <c r="J170" s="588"/>
      <c r="K170" s="588"/>
      <c r="L170" s="584"/>
      <c r="M170" s="584"/>
      <c r="N170" s="586"/>
      <c r="O170" s="587"/>
      <c r="P170" s="588"/>
      <c r="Q170" s="588"/>
      <c r="R170" s="584"/>
    </row>
    <row r="171" spans="1:18" ht="15.75" customHeight="1">
      <c r="A171" s="589"/>
      <c r="C171" s="584"/>
      <c r="D171" s="584"/>
      <c r="E171" s="584"/>
      <c r="F171" s="584"/>
      <c r="G171" s="585"/>
      <c r="H171" s="586"/>
      <c r="I171" s="587"/>
      <c r="J171" s="588"/>
      <c r="K171" s="588"/>
      <c r="L171" s="584"/>
      <c r="M171" s="584"/>
      <c r="N171" s="586"/>
      <c r="O171" s="587"/>
      <c r="P171" s="588"/>
      <c r="Q171" s="588"/>
      <c r="R171" s="584"/>
    </row>
    <row r="172" spans="1:18" ht="15.75" customHeight="1">
      <c r="A172" s="589"/>
      <c r="C172" s="584"/>
      <c r="D172" s="584"/>
      <c r="E172" s="584"/>
      <c r="F172" s="584"/>
      <c r="G172" s="585"/>
      <c r="H172" s="586"/>
      <c r="I172" s="587"/>
      <c r="J172" s="588"/>
      <c r="K172" s="588"/>
      <c r="L172" s="584"/>
      <c r="M172" s="584"/>
      <c r="N172" s="586"/>
      <c r="O172" s="587"/>
      <c r="P172" s="588"/>
      <c r="Q172" s="588"/>
      <c r="R172" s="584"/>
    </row>
    <row r="173" spans="1:18" ht="15.75" customHeight="1">
      <c r="A173" s="589"/>
      <c r="C173" s="584"/>
      <c r="D173" s="584"/>
      <c r="E173" s="584"/>
      <c r="F173" s="584"/>
      <c r="G173" s="585"/>
      <c r="H173" s="586"/>
      <c r="I173" s="587"/>
      <c r="J173" s="588"/>
      <c r="K173" s="588"/>
      <c r="L173" s="584"/>
      <c r="M173" s="584"/>
      <c r="N173" s="586"/>
      <c r="O173" s="587"/>
      <c r="P173" s="588"/>
      <c r="Q173" s="588"/>
      <c r="R173" s="584"/>
    </row>
    <row r="174" spans="1:18" ht="15.75" customHeight="1">
      <c r="A174" s="589"/>
      <c r="C174" s="584"/>
      <c r="D174" s="584"/>
      <c r="E174" s="584"/>
      <c r="F174" s="584"/>
      <c r="G174" s="585"/>
      <c r="H174" s="586"/>
      <c r="I174" s="587"/>
      <c r="J174" s="588"/>
      <c r="K174" s="588"/>
      <c r="L174" s="584"/>
      <c r="M174" s="584"/>
      <c r="N174" s="586"/>
      <c r="O174" s="587"/>
      <c r="P174" s="588"/>
      <c r="Q174" s="588"/>
      <c r="R174" s="584"/>
    </row>
    <row r="175" spans="1:18" ht="15.75" customHeight="1">
      <c r="A175" s="589"/>
      <c r="C175" s="584"/>
      <c r="D175" s="584"/>
      <c r="E175" s="584"/>
      <c r="F175" s="584"/>
      <c r="G175" s="585"/>
      <c r="H175" s="586"/>
      <c r="I175" s="587"/>
      <c r="J175" s="588"/>
      <c r="K175" s="588"/>
      <c r="L175" s="584"/>
      <c r="M175" s="584"/>
      <c r="N175" s="586"/>
      <c r="O175" s="587"/>
      <c r="P175" s="588"/>
      <c r="Q175" s="588"/>
      <c r="R175" s="584"/>
    </row>
    <row r="176" spans="1:18" ht="15.75" customHeight="1">
      <c r="A176" s="589"/>
      <c r="C176" s="584"/>
      <c r="D176" s="584"/>
      <c r="E176" s="584"/>
      <c r="F176" s="584"/>
      <c r="G176" s="585"/>
      <c r="H176" s="586"/>
      <c r="I176" s="587"/>
      <c r="J176" s="588"/>
      <c r="K176" s="588"/>
      <c r="L176" s="584"/>
      <c r="M176" s="584"/>
      <c r="N176" s="586"/>
      <c r="O176" s="587"/>
      <c r="P176" s="588"/>
      <c r="Q176" s="588"/>
      <c r="R176" s="584"/>
    </row>
    <row r="177" spans="1:18" ht="15.75" customHeight="1">
      <c r="A177" s="589"/>
      <c r="C177" s="584"/>
      <c r="D177" s="584"/>
      <c r="E177" s="584"/>
      <c r="F177" s="584"/>
      <c r="G177" s="585"/>
      <c r="H177" s="586"/>
      <c r="I177" s="587"/>
      <c r="J177" s="588"/>
      <c r="K177" s="588"/>
      <c r="L177" s="584"/>
      <c r="M177" s="584"/>
      <c r="N177" s="586"/>
      <c r="O177" s="587"/>
      <c r="P177" s="588"/>
      <c r="Q177" s="588"/>
      <c r="R177" s="584"/>
    </row>
    <row r="178" spans="1:18" ht="15.75" customHeight="1">
      <c r="A178" s="589"/>
      <c r="C178" s="584"/>
      <c r="D178" s="584"/>
      <c r="E178" s="584"/>
      <c r="F178" s="584"/>
      <c r="G178" s="585"/>
      <c r="H178" s="586"/>
      <c r="I178" s="587"/>
      <c r="J178" s="588"/>
      <c r="K178" s="588"/>
      <c r="L178" s="584"/>
      <c r="M178" s="584"/>
      <c r="N178" s="586"/>
      <c r="O178" s="587"/>
      <c r="P178" s="588"/>
      <c r="Q178" s="588"/>
      <c r="R178" s="584"/>
    </row>
    <row r="179" spans="1:18" ht="15.75" customHeight="1">
      <c r="A179" s="589"/>
      <c r="C179" s="584"/>
      <c r="D179" s="584"/>
      <c r="E179" s="584"/>
      <c r="F179" s="584"/>
      <c r="G179" s="585"/>
      <c r="H179" s="586"/>
      <c r="I179" s="587"/>
      <c r="J179" s="588"/>
      <c r="K179" s="588"/>
      <c r="L179" s="584"/>
      <c r="M179" s="584"/>
      <c r="N179" s="586"/>
      <c r="O179" s="587"/>
      <c r="P179" s="588"/>
      <c r="Q179" s="588"/>
      <c r="R179" s="584"/>
    </row>
    <row r="180" spans="1:18" ht="15.75" customHeight="1">
      <c r="A180" s="589"/>
      <c r="C180" s="584"/>
      <c r="D180" s="584"/>
      <c r="E180" s="584"/>
      <c r="F180" s="584"/>
      <c r="G180" s="585"/>
      <c r="H180" s="586"/>
      <c r="I180" s="587"/>
      <c r="J180" s="588"/>
      <c r="K180" s="588"/>
      <c r="L180" s="584"/>
      <c r="M180" s="584"/>
      <c r="N180" s="586"/>
      <c r="O180" s="587"/>
      <c r="P180" s="588"/>
      <c r="Q180" s="588"/>
      <c r="R180" s="584"/>
    </row>
    <row r="181" spans="1:18" ht="15.75" customHeight="1">
      <c r="A181" s="589"/>
      <c r="C181" s="584"/>
      <c r="D181" s="584"/>
      <c r="E181" s="584"/>
      <c r="F181" s="584"/>
      <c r="G181" s="585"/>
      <c r="H181" s="586"/>
      <c r="I181" s="587"/>
      <c r="J181" s="588"/>
      <c r="K181" s="588"/>
      <c r="L181" s="584"/>
      <c r="M181" s="584"/>
      <c r="N181" s="586"/>
      <c r="O181" s="587"/>
      <c r="P181" s="588"/>
      <c r="Q181" s="588"/>
      <c r="R181" s="584"/>
    </row>
    <row r="182" spans="1:18" ht="15.75" customHeight="1">
      <c r="A182" s="589"/>
      <c r="C182" s="584"/>
      <c r="D182" s="584"/>
      <c r="E182" s="584"/>
      <c r="F182" s="584"/>
      <c r="G182" s="585"/>
      <c r="H182" s="586"/>
      <c r="I182" s="587"/>
      <c r="J182" s="588"/>
      <c r="K182" s="588"/>
      <c r="L182" s="584"/>
      <c r="M182" s="584"/>
      <c r="N182" s="586"/>
      <c r="O182" s="587"/>
      <c r="P182" s="588"/>
      <c r="Q182" s="588"/>
      <c r="R182" s="584"/>
    </row>
    <row r="183" spans="1:18" ht="15.75" customHeight="1">
      <c r="A183" s="589"/>
      <c r="C183" s="584"/>
      <c r="D183" s="584"/>
      <c r="E183" s="584"/>
      <c r="F183" s="584"/>
      <c r="G183" s="585"/>
      <c r="H183" s="586"/>
      <c r="I183" s="587"/>
      <c r="J183" s="588"/>
      <c r="K183" s="588"/>
      <c r="L183" s="584"/>
      <c r="M183" s="584"/>
      <c r="N183" s="586"/>
      <c r="O183" s="587"/>
      <c r="P183" s="588"/>
      <c r="Q183" s="588"/>
      <c r="R183" s="584"/>
    </row>
    <row r="184" spans="1:18" ht="15.75" customHeight="1">
      <c r="A184" s="589"/>
      <c r="C184" s="584"/>
      <c r="D184" s="584"/>
      <c r="E184" s="584"/>
      <c r="F184" s="584"/>
      <c r="G184" s="585"/>
      <c r="H184" s="586"/>
      <c r="I184" s="587"/>
      <c r="J184" s="588"/>
      <c r="K184" s="588"/>
      <c r="L184" s="584"/>
      <c r="M184" s="584"/>
      <c r="N184" s="586"/>
      <c r="O184" s="587"/>
      <c r="P184" s="588"/>
      <c r="Q184" s="588"/>
      <c r="R184" s="584"/>
    </row>
    <row r="185" spans="1:18" ht="15.75" customHeight="1">
      <c r="A185" s="589"/>
      <c r="C185" s="584"/>
      <c r="D185" s="584"/>
      <c r="E185" s="584"/>
      <c r="F185" s="584"/>
      <c r="G185" s="585"/>
      <c r="H185" s="586"/>
      <c r="I185" s="587"/>
      <c r="J185" s="588"/>
      <c r="K185" s="588"/>
      <c r="L185" s="584"/>
      <c r="M185" s="584"/>
      <c r="N185" s="586"/>
      <c r="O185" s="587"/>
      <c r="P185" s="588"/>
      <c r="Q185" s="588"/>
      <c r="R185" s="584"/>
    </row>
    <row r="186" spans="1:18" ht="15.75" customHeight="1">
      <c r="A186" s="589"/>
      <c r="C186" s="584"/>
      <c r="D186" s="584"/>
      <c r="E186" s="584"/>
      <c r="F186" s="584"/>
      <c r="G186" s="585"/>
      <c r="H186" s="586"/>
      <c r="I186" s="587"/>
      <c r="J186" s="588"/>
      <c r="K186" s="588"/>
      <c r="L186" s="584"/>
      <c r="M186" s="584"/>
      <c r="N186" s="586"/>
      <c r="O186" s="587"/>
      <c r="P186" s="588"/>
      <c r="Q186" s="588"/>
      <c r="R186" s="584"/>
    </row>
    <row r="187" spans="1:18" ht="15.75" customHeight="1">
      <c r="A187" s="589"/>
      <c r="C187" s="584"/>
      <c r="D187" s="584"/>
      <c r="E187" s="584"/>
      <c r="F187" s="584"/>
      <c r="G187" s="585"/>
      <c r="H187" s="586"/>
      <c r="I187" s="587"/>
      <c r="J187" s="588"/>
      <c r="K187" s="588"/>
      <c r="L187" s="584"/>
      <c r="M187" s="584"/>
      <c r="N187" s="586"/>
      <c r="O187" s="587"/>
      <c r="P187" s="588"/>
      <c r="Q187" s="588"/>
      <c r="R187" s="584"/>
    </row>
    <row r="188" spans="1:18" ht="15.75" customHeight="1">
      <c r="A188" s="589"/>
      <c r="C188" s="584"/>
      <c r="D188" s="584"/>
      <c r="E188" s="584"/>
      <c r="F188" s="584"/>
      <c r="G188" s="585"/>
      <c r="H188" s="586"/>
      <c r="I188" s="587"/>
      <c r="J188" s="588"/>
      <c r="K188" s="588"/>
      <c r="L188" s="584"/>
      <c r="M188" s="584"/>
      <c r="N188" s="586"/>
      <c r="O188" s="587"/>
      <c r="P188" s="588"/>
      <c r="Q188" s="588"/>
      <c r="R188" s="584"/>
    </row>
    <row r="189" spans="1:18" ht="15.75" customHeight="1">
      <c r="A189" s="589"/>
      <c r="C189" s="584"/>
      <c r="D189" s="584"/>
      <c r="E189" s="584"/>
      <c r="F189" s="584"/>
      <c r="G189" s="585"/>
      <c r="H189" s="586"/>
      <c r="I189" s="587"/>
      <c r="J189" s="588"/>
      <c r="K189" s="588"/>
      <c r="L189" s="584"/>
      <c r="M189" s="584"/>
      <c r="N189" s="586"/>
      <c r="O189" s="587"/>
      <c r="P189" s="588"/>
      <c r="Q189" s="588"/>
      <c r="R189" s="584"/>
    </row>
    <row r="190" spans="1:18" ht="15.75" customHeight="1">
      <c r="A190" s="589"/>
      <c r="C190" s="584"/>
      <c r="D190" s="584"/>
      <c r="E190" s="584"/>
      <c r="F190" s="584"/>
      <c r="G190" s="585"/>
      <c r="H190" s="586"/>
      <c r="I190" s="587"/>
      <c r="J190" s="588"/>
      <c r="K190" s="588"/>
      <c r="L190" s="584"/>
      <c r="M190" s="584"/>
      <c r="N190" s="586"/>
      <c r="O190" s="587"/>
      <c r="P190" s="588"/>
      <c r="Q190" s="588"/>
      <c r="R190" s="584"/>
    </row>
    <row r="191" spans="1:18" ht="15.75" customHeight="1">
      <c r="A191" s="589"/>
      <c r="C191" s="584"/>
      <c r="D191" s="584"/>
      <c r="E191" s="584"/>
      <c r="F191" s="584"/>
      <c r="G191" s="585"/>
      <c r="H191" s="586"/>
      <c r="I191" s="587"/>
      <c r="J191" s="588"/>
      <c r="K191" s="588"/>
      <c r="L191" s="584"/>
      <c r="M191" s="584"/>
      <c r="N191" s="586"/>
      <c r="O191" s="587"/>
      <c r="P191" s="588"/>
      <c r="Q191" s="588"/>
      <c r="R191" s="584"/>
    </row>
    <row r="192" spans="1:18" ht="15.75" customHeight="1">
      <c r="A192" s="589"/>
      <c r="C192" s="584"/>
      <c r="D192" s="584"/>
      <c r="E192" s="584"/>
      <c r="F192" s="584"/>
      <c r="G192" s="585"/>
      <c r="H192" s="586"/>
      <c r="I192" s="587"/>
      <c r="J192" s="588"/>
      <c r="K192" s="588"/>
      <c r="L192" s="584"/>
      <c r="M192" s="584"/>
      <c r="N192" s="586"/>
      <c r="O192" s="587"/>
      <c r="P192" s="588"/>
      <c r="Q192" s="588"/>
      <c r="R192" s="584"/>
    </row>
    <row r="193" spans="1:18" ht="15.75" customHeight="1">
      <c r="A193" s="589"/>
      <c r="C193" s="584"/>
      <c r="D193" s="584"/>
      <c r="E193" s="584"/>
      <c r="F193" s="584"/>
      <c r="G193" s="585"/>
      <c r="H193" s="586"/>
      <c r="I193" s="587"/>
      <c r="J193" s="588"/>
      <c r="K193" s="588"/>
      <c r="L193" s="584"/>
      <c r="M193" s="584"/>
      <c r="N193" s="586"/>
      <c r="O193" s="587"/>
      <c r="P193" s="588"/>
      <c r="Q193" s="588"/>
      <c r="R193" s="584"/>
    </row>
    <row r="194" spans="1:18" ht="15.75" customHeight="1">
      <c r="A194" s="589"/>
      <c r="C194" s="584"/>
      <c r="D194" s="584"/>
      <c r="E194" s="584"/>
      <c r="F194" s="584"/>
      <c r="G194" s="585"/>
      <c r="H194" s="586"/>
      <c r="I194" s="587"/>
      <c r="J194" s="588"/>
      <c r="K194" s="588"/>
      <c r="L194" s="584"/>
      <c r="M194" s="584"/>
      <c r="N194" s="586"/>
      <c r="O194" s="587"/>
      <c r="P194" s="588"/>
      <c r="Q194" s="588"/>
      <c r="R194" s="584"/>
    </row>
    <row r="195" spans="1:18" ht="15.75" customHeight="1">
      <c r="A195" s="589"/>
      <c r="C195" s="584"/>
      <c r="D195" s="584"/>
      <c r="E195" s="584"/>
      <c r="F195" s="584"/>
      <c r="G195" s="585"/>
      <c r="H195" s="586"/>
      <c r="I195" s="587"/>
      <c r="J195" s="588"/>
      <c r="K195" s="588"/>
      <c r="L195" s="584"/>
      <c r="M195" s="584"/>
      <c r="N195" s="586"/>
      <c r="O195" s="587"/>
      <c r="P195" s="588"/>
      <c r="Q195" s="588"/>
      <c r="R195" s="584"/>
    </row>
    <row r="196" spans="1:18" ht="15.75" customHeight="1">
      <c r="A196" s="589"/>
      <c r="C196" s="584"/>
      <c r="D196" s="584"/>
      <c r="E196" s="584"/>
      <c r="F196" s="584"/>
      <c r="G196" s="585"/>
      <c r="H196" s="586"/>
      <c r="I196" s="587"/>
      <c r="J196" s="588"/>
      <c r="K196" s="588"/>
      <c r="L196" s="584"/>
      <c r="M196" s="584"/>
      <c r="N196" s="586"/>
      <c r="O196" s="587"/>
      <c r="P196" s="588"/>
      <c r="Q196" s="588"/>
      <c r="R196" s="584"/>
    </row>
    <row r="197" spans="1:18" ht="15.75" customHeight="1">
      <c r="A197" s="589"/>
      <c r="C197" s="584"/>
      <c r="D197" s="584"/>
      <c r="E197" s="584"/>
      <c r="F197" s="584"/>
      <c r="G197" s="585"/>
      <c r="H197" s="586"/>
      <c r="I197" s="587"/>
      <c r="J197" s="588"/>
      <c r="K197" s="588"/>
      <c r="L197" s="584"/>
      <c r="M197" s="584"/>
      <c r="N197" s="586"/>
      <c r="O197" s="587"/>
      <c r="P197" s="588"/>
      <c r="Q197" s="588"/>
      <c r="R197" s="584"/>
    </row>
    <row r="198" spans="1:18" ht="15.75" customHeight="1">
      <c r="A198" s="589"/>
      <c r="C198" s="584"/>
      <c r="D198" s="584"/>
      <c r="E198" s="584"/>
      <c r="F198" s="584"/>
      <c r="G198" s="585"/>
      <c r="H198" s="586"/>
      <c r="I198" s="587"/>
      <c r="J198" s="588"/>
      <c r="K198" s="588"/>
      <c r="L198" s="584"/>
      <c r="M198" s="584"/>
      <c r="N198" s="586"/>
      <c r="O198" s="587"/>
      <c r="P198" s="588"/>
      <c r="Q198" s="588"/>
      <c r="R198" s="584"/>
    </row>
    <row r="199" spans="1:18" ht="15.75" customHeight="1">
      <c r="A199" s="589"/>
      <c r="C199" s="584"/>
      <c r="D199" s="584"/>
      <c r="E199" s="584"/>
      <c r="F199" s="584"/>
      <c r="G199" s="585"/>
      <c r="H199" s="586"/>
      <c r="I199" s="587"/>
      <c r="J199" s="588"/>
      <c r="K199" s="588"/>
      <c r="L199" s="584"/>
      <c r="M199" s="584"/>
      <c r="N199" s="586"/>
      <c r="O199" s="587"/>
      <c r="P199" s="588"/>
      <c r="Q199" s="588"/>
      <c r="R199" s="584"/>
    </row>
    <row r="200" spans="1:18" ht="15.75" customHeight="1">
      <c r="A200" s="589"/>
      <c r="C200" s="584"/>
      <c r="D200" s="584"/>
      <c r="E200" s="584"/>
      <c r="F200" s="584"/>
      <c r="G200" s="585"/>
      <c r="H200" s="586"/>
      <c r="I200" s="587"/>
      <c r="J200" s="588"/>
      <c r="K200" s="588"/>
      <c r="L200" s="584"/>
      <c r="M200" s="584"/>
      <c r="N200" s="586"/>
      <c r="O200" s="587"/>
      <c r="P200" s="588"/>
      <c r="Q200" s="588"/>
      <c r="R200" s="584"/>
    </row>
    <row r="201" spans="1:18" ht="15.75" customHeight="1">
      <c r="A201" s="589"/>
      <c r="C201" s="584"/>
      <c r="D201" s="584"/>
      <c r="E201" s="584"/>
      <c r="F201" s="584"/>
      <c r="G201" s="585"/>
      <c r="H201" s="586"/>
      <c r="I201" s="587"/>
      <c r="J201" s="588"/>
      <c r="K201" s="588"/>
      <c r="L201" s="584"/>
      <c r="M201" s="584"/>
      <c r="N201" s="586"/>
      <c r="O201" s="587"/>
      <c r="P201" s="588"/>
      <c r="Q201" s="588"/>
      <c r="R201" s="584"/>
    </row>
    <row r="202" spans="1:18" ht="15.75" customHeight="1">
      <c r="A202" s="589"/>
      <c r="C202" s="584"/>
      <c r="D202" s="584"/>
      <c r="E202" s="584"/>
      <c r="F202" s="584"/>
      <c r="G202" s="585"/>
      <c r="H202" s="586"/>
      <c r="I202" s="587"/>
      <c r="J202" s="588"/>
      <c r="K202" s="588"/>
      <c r="L202" s="584"/>
      <c r="M202" s="584"/>
      <c r="N202" s="586"/>
      <c r="O202" s="587"/>
      <c r="P202" s="588"/>
      <c r="Q202" s="588"/>
      <c r="R202" s="584"/>
    </row>
    <row r="203" spans="1:18" ht="15.75" customHeight="1">
      <c r="A203" s="589"/>
      <c r="C203" s="584"/>
      <c r="D203" s="584"/>
      <c r="E203" s="584"/>
      <c r="F203" s="584"/>
      <c r="G203" s="585"/>
      <c r="H203" s="586"/>
      <c r="I203" s="587"/>
      <c r="J203" s="588"/>
      <c r="K203" s="588"/>
      <c r="L203" s="584"/>
      <c r="M203" s="584"/>
      <c r="N203" s="586"/>
      <c r="O203" s="587"/>
      <c r="P203" s="588"/>
      <c r="Q203" s="588"/>
      <c r="R203" s="584"/>
    </row>
    <row r="204" spans="1:18" ht="15.75" customHeight="1">
      <c r="A204" s="589"/>
      <c r="C204" s="584"/>
      <c r="D204" s="584"/>
      <c r="E204" s="584"/>
      <c r="F204" s="584"/>
      <c r="G204" s="585"/>
      <c r="H204" s="586"/>
      <c r="I204" s="587"/>
      <c r="J204" s="588"/>
      <c r="K204" s="588"/>
      <c r="L204" s="584"/>
      <c r="M204" s="584"/>
      <c r="N204" s="586"/>
      <c r="O204" s="587"/>
      <c r="P204" s="588"/>
      <c r="Q204" s="588"/>
      <c r="R204" s="584"/>
    </row>
    <row r="205" spans="1:18" ht="15.75" customHeight="1">
      <c r="A205" s="589"/>
      <c r="C205" s="584"/>
      <c r="D205" s="584"/>
      <c r="E205" s="584"/>
      <c r="F205" s="584"/>
      <c r="G205" s="585"/>
      <c r="H205" s="586"/>
      <c r="I205" s="587"/>
      <c r="J205" s="588"/>
      <c r="K205" s="588"/>
      <c r="L205" s="584"/>
      <c r="M205" s="584"/>
      <c r="N205" s="586"/>
      <c r="O205" s="587"/>
      <c r="P205" s="588"/>
      <c r="Q205" s="588"/>
      <c r="R205" s="584"/>
    </row>
    <row r="206" spans="1:18" ht="15.75" customHeight="1">
      <c r="A206" s="589"/>
      <c r="C206" s="584"/>
      <c r="D206" s="584"/>
      <c r="E206" s="584"/>
      <c r="F206" s="584"/>
      <c r="G206" s="585"/>
      <c r="H206" s="586"/>
      <c r="I206" s="587"/>
      <c r="J206" s="588"/>
      <c r="K206" s="588"/>
      <c r="L206" s="584"/>
      <c r="M206" s="584"/>
      <c r="N206" s="586"/>
      <c r="O206" s="587"/>
      <c r="P206" s="588"/>
      <c r="Q206" s="588"/>
      <c r="R206" s="584"/>
    </row>
    <row r="207" spans="1:18" ht="15.75" customHeight="1">
      <c r="A207" s="589"/>
      <c r="C207" s="584"/>
      <c r="D207" s="584"/>
      <c r="E207" s="584"/>
      <c r="F207" s="584"/>
      <c r="G207" s="585"/>
      <c r="H207" s="586"/>
      <c r="I207" s="587"/>
      <c r="J207" s="588"/>
      <c r="K207" s="588"/>
      <c r="L207" s="584"/>
      <c r="M207" s="584"/>
      <c r="N207" s="586"/>
      <c r="O207" s="587"/>
      <c r="P207" s="588"/>
      <c r="Q207" s="588"/>
      <c r="R207" s="584"/>
    </row>
    <row r="208" spans="1:18" ht="15.75" customHeight="1">
      <c r="A208" s="589"/>
      <c r="C208" s="584"/>
      <c r="D208" s="584"/>
      <c r="E208" s="584"/>
      <c r="F208" s="584"/>
      <c r="G208" s="585"/>
      <c r="H208" s="586"/>
      <c r="I208" s="587"/>
      <c r="J208" s="588"/>
      <c r="K208" s="588"/>
      <c r="L208" s="584"/>
      <c r="M208" s="584"/>
      <c r="N208" s="586"/>
      <c r="O208" s="587"/>
      <c r="P208" s="588"/>
      <c r="Q208" s="588"/>
      <c r="R208" s="584"/>
    </row>
    <row r="209" spans="1:18" ht="15.75" customHeight="1">
      <c r="A209" s="589"/>
      <c r="C209" s="584"/>
      <c r="D209" s="584"/>
      <c r="E209" s="584"/>
      <c r="F209" s="584"/>
      <c r="G209" s="585"/>
      <c r="H209" s="586"/>
      <c r="I209" s="587"/>
      <c r="J209" s="588"/>
      <c r="K209" s="588"/>
      <c r="L209" s="584"/>
      <c r="M209" s="584"/>
      <c r="N209" s="586"/>
      <c r="O209" s="587"/>
      <c r="P209" s="588"/>
      <c r="Q209" s="588"/>
      <c r="R209" s="584"/>
    </row>
    <row r="210" spans="1:18" ht="15.75" customHeight="1">
      <c r="A210" s="589"/>
      <c r="C210" s="584"/>
      <c r="D210" s="584"/>
      <c r="E210" s="584"/>
      <c r="F210" s="584"/>
      <c r="G210" s="585"/>
      <c r="H210" s="586"/>
      <c r="I210" s="587"/>
      <c r="J210" s="588"/>
      <c r="K210" s="588"/>
      <c r="L210" s="584"/>
      <c r="M210" s="584"/>
      <c r="N210" s="586"/>
      <c r="O210" s="587"/>
      <c r="P210" s="588"/>
      <c r="Q210" s="588"/>
      <c r="R210" s="584"/>
    </row>
    <row r="211" spans="1:18" ht="15.75" customHeight="1">
      <c r="A211" s="589"/>
      <c r="C211" s="584"/>
      <c r="D211" s="584"/>
      <c r="E211" s="584"/>
      <c r="F211" s="584"/>
      <c r="G211" s="585"/>
      <c r="H211" s="586"/>
      <c r="I211" s="587"/>
      <c r="J211" s="588"/>
      <c r="K211" s="588"/>
      <c r="L211" s="584"/>
      <c r="M211" s="584"/>
      <c r="N211" s="586"/>
      <c r="O211" s="587"/>
      <c r="P211" s="588"/>
      <c r="Q211" s="588"/>
      <c r="R211" s="584"/>
    </row>
    <row r="212" spans="1:18" ht="15.75" customHeight="1">
      <c r="A212" s="589"/>
      <c r="C212" s="584"/>
      <c r="D212" s="584"/>
      <c r="E212" s="584"/>
      <c r="F212" s="584"/>
      <c r="G212" s="585"/>
      <c r="H212" s="586"/>
      <c r="I212" s="587"/>
      <c r="J212" s="588"/>
      <c r="K212" s="588"/>
      <c r="L212" s="584"/>
      <c r="M212" s="584"/>
      <c r="N212" s="586"/>
      <c r="O212" s="587"/>
      <c r="P212" s="588"/>
      <c r="Q212" s="588"/>
      <c r="R212" s="584"/>
    </row>
    <row r="213" spans="1:18" ht="15.75" customHeight="1">
      <c r="A213" s="589"/>
      <c r="C213" s="584"/>
      <c r="D213" s="584"/>
      <c r="E213" s="584"/>
      <c r="F213" s="584"/>
      <c r="G213" s="585"/>
      <c r="H213" s="586"/>
      <c r="I213" s="587"/>
      <c r="J213" s="588"/>
      <c r="K213" s="588"/>
      <c r="L213" s="584"/>
      <c r="M213" s="584"/>
      <c r="N213" s="586"/>
      <c r="O213" s="587"/>
      <c r="P213" s="588"/>
      <c r="Q213" s="588"/>
      <c r="R213" s="584"/>
    </row>
    <row r="214" spans="1:18" ht="15.75" customHeight="1">
      <c r="A214" s="589"/>
      <c r="C214" s="584"/>
      <c r="D214" s="584"/>
      <c r="E214" s="584"/>
      <c r="F214" s="584"/>
      <c r="G214" s="585"/>
      <c r="H214" s="586"/>
      <c r="I214" s="587"/>
      <c r="J214" s="588"/>
      <c r="K214" s="588"/>
      <c r="L214" s="584"/>
      <c r="M214" s="584"/>
      <c r="N214" s="586"/>
      <c r="O214" s="587"/>
      <c r="P214" s="588"/>
      <c r="Q214" s="588"/>
      <c r="R214" s="584"/>
    </row>
    <row r="215" spans="1:18" ht="15.75" customHeight="1">
      <c r="A215" s="589"/>
      <c r="C215" s="584"/>
      <c r="D215" s="584"/>
      <c r="E215" s="584"/>
      <c r="F215" s="584"/>
      <c r="G215" s="585"/>
      <c r="H215" s="586"/>
      <c r="I215" s="587"/>
      <c r="J215" s="588"/>
      <c r="K215" s="588"/>
      <c r="L215" s="584"/>
      <c r="M215" s="584"/>
      <c r="N215" s="586"/>
      <c r="O215" s="587"/>
      <c r="P215" s="588"/>
      <c r="Q215" s="588"/>
      <c r="R215" s="584"/>
    </row>
    <row r="216" spans="1:18" ht="15.75" customHeight="1">
      <c r="A216" s="589"/>
      <c r="C216" s="584"/>
      <c r="D216" s="584"/>
      <c r="E216" s="584"/>
      <c r="F216" s="584"/>
      <c r="G216" s="585"/>
      <c r="H216" s="586"/>
      <c r="I216" s="587"/>
      <c r="J216" s="588"/>
      <c r="K216" s="588"/>
      <c r="L216" s="584"/>
      <c r="M216" s="584"/>
      <c r="N216" s="586"/>
      <c r="O216" s="587"/>
      <c r="P216" s="588"/>
      <c r="Q216" s="588"/>
      <c r="R216" s="584"/>
    </row>
    <row r="217" spans="1:18" ht="15.75" customHeight="1">
      <c r="A217" s="589"/>
      <c r="C217" s="584"/>
      <c r="D217" s="584"/>
      <c r="E217" s="584"/>
      <c r="F217" s="584"/>
      <c r="G217" s="585"/>
      <c r="H217" s="586"/>
      <c r="I217" s="587"/>
      <c r="J217" s="588"/>
      <c r="K217" s="588"/>
      <c r="L217" s="584"/>
      <c r="M217" s="584"/>
      <c r="N217" s="586"/>
      <c r="O217" s="587"/>
      <c r="P217" s="588"/>
      <c r="Q217" s="588"/>
      <c r="R217" s="584"/>
    </row>
    <row r="218" spans="1:18" ht="15.75" customHeight="1">
      <c r="A218" s="589"/>
      <c r="C218" s="584"/>
      <c r="D218" s="584"/>
      <c r="E218" s="584"/>
      <c r="F218" s="584"/>
      <c r="G218" s="585"/>
      <c r="H218" s="586"/>
      <c r="I218" s="587"/>
      <c r="J218" s="588"/>
      <c r="K218" s="588"/>
      <c r="L218" s="584"/>
      <c r="M218" s="584"/>
      <c r="N218" s="586"/>
      <c r="O218" s="587"/>
      <c r="P218" s="588"/>
      <c r="Q218" s="588"/>
      <c r="R218" s="584"/>
    </row>
    <row r="219" spans="1:18" ht="15.75" customHeight="1">
      <c r="A219" s="589"/>
      <c r="C219" s="584"/>
      <c r="D219" s="584"/>
      <c r="E219" s="584"/>
      <c r="F219" s="584"/>
      <c r="G219" s="585"/>
      <c r="H219" s="586"/>
      <c r="I219" s="587"/>
      <c r="J219" s="588"/>
      <c r="K219" s="588"/>
      <c r="L219" s="584"/>
      <c r="M219" s="584"/>
      <c r="N219" s="586"/>
      <c r="O219" s="587"/>
      <c r="P219" s="588"/>
      <c r="Q219" s="588"/>
      <c r="R219" s="584"/>
    </row>
    <row r="220" spans="1:18" ht="15.75" customHeight="1">
      <c r="A220" s="589"/>
      <c r="C220" s="584"/>
      <c r="D220" s="584"/>
      <c r="E220" s="584"/>
      <c r="F220" s="584"/>
      <c r="G220" s="585"/>
      <c r="H220" s="586"/>
      <c r="I220" s="587"/>
      <c r="J220" s="588"/>
      <c r="K220" s="588"/>
      <c r="L220" s="584"/>
      <c r="M220" s="584"/>
      <c r="N220" s="586"/>
      <c r="O220" s="587"/>
      <c r="P220" s="588"/>
      <c r="Q220" s="588"/>
      <c r="R220" s="584"/>
    </row>
    <row r="221" spans="1:18" ht="15.75" customHeight="1">
      <c r="A221" s="589"/>
      <c r="C221" s="584"/>
      <c r="D221" s="584"/>
      <c r="E221" s="584"/>
      <c r="F221" s="584"/>
      <c r="G221" s="585"/>
      <c r="H221" s="586"/>
      <c r="I221" s="587"/>
      <c r="J221" s="588"/>
      <c r="K221" s="588"/>
      <c r="L221" s="584"/>
      <c r="M221" s="584"/>
      <c r="N221" s="586"/>
      <c r="O221" s="587"/>
      <c r="P221" s="588"/>
      <c r="Q221" s="588"/>
      <c r="R221" s="584"/>
    </row>
    <row r="222" spans="1:18" ht="15.75" customHeight="1">
      <c r="A222" s="589"/>
      <c r="C222" s="584"/>
      <c r="D222" s="584"/>
      <c r="E222" s="584"/>
      <c r="F222" s="584"/>
      <c r="G222" s="585"/>
      <c r="H222" s="586"/>
      <c r="I222" s="587"/>
      <c r="J222" s="588"/>
      <c r="K222" s="588"/>
      <c r="L222" s="584"/>
      <c r="M222" s="584"/>
      <c r="N222" s="586"/>
      <c r="O222" s="587"/>
      <c r="P222" s="588"/>
      <c r="Q222" s="588"/>
      <c r="R222" s="584"/>
    </row>
    <row r="223" spans="1:18" ht="15.75" customHeight="1">
      <c r="A223" s="589"/>
      <c r="C223" s="584"/>
      <c r="D223" s="584"/>
      <c r="E223" s="584"/>
      <c r="F223" s="584"/>
      <c r="G223" s="585"/>
      <c r="H223" s="586"/>
      <c r="I223" s="587"/>
      <c r="J223" s="588"/>
      <c r="K223" s="588"/>
      <c r="L223" s="584"/>
      <c r="M223" s="584"/>
      <c r="N223" s="586"/>
      <c r="O223" s="587"/>
      <c r="P223" s="588"/>
      <c r="Q223" s="588"/>
      <c r="R223" s="584"/>
    </row>
    <row r="224" spans="1:18" ht="15.75" customHeight="1">
      <c r="A224" s="589"/>
      <c r="C224" s="584"/>
      <c r="D224" s="584"/>
      <c r="E224" s="584"/>
      <c r="F224" s="584"/>
      <c r="G224" s="585"/>
      <c r="H224" s="586"/>
      <c r="I224" s="587"/>
      <c r="J224" s="588"/>
      <c r="K224" s="588"/>
      <c r="L224" s="584"/>
      <c r="M224" s="584"/>
      <c r="N224" s="586"/>
      <c r="O224" s="587"/>
      <c r="P224" s="588"/>
      <c r="Q224" s="588"/>
      <c r="R224" s="584"/>
    </row>
    <row r="225" spans="7:17" ht="15.75" customHeight="1">
      <c r="G225" s="684"/>
      <c r="H225" s="685"/>
      <c r="I225" s="686"/>
      <c r="J225" s="687"/>
      <c r="K225" s="687"/>
      <c r="N225" s="685"/>
      <c r="O225" s="686"/>
      <c r="P225" s="687"/>
      <c r="Q225" s="687"/>
    </row>
    <row r="226" spans="7:17" ht="15.75" customHeight="1">
      <c r="G226" s="684"/>
      <c r="H226" s="685"/>
      <c r="I226" s="686"/>
      <c r="J226" s="687"/>
      <c r="K226" s="687"/>
      <c r="N226" s="685"/>
      <c r="O226" s="686"/>
      <c r="P226" s="687"/>
      <c r="Q226" s="687"/>
    </row>
    <row r="227" spans="7:17" ht="15.75" customHeight="1">
      <c r="G227" s="684"/>
      <c r="H227" s="685"/>
      <c r="I227" s="686"/>
      <c r="J227" s="687"/>
      <c r="K227" s="687"/>
      <c r="N227" s="685"/>
      <c r="O227" s="686"/>
      <c r="P227" s="687"/>
      <c r="Q227" s="687"/>
    </row>
    <row r="228" spans="7:17" ht="15.75" customHeight="1">
      <c r="G228" s="684"/>
      <c r="H228" s="685"/>
      <c r="I228" s="686"/>
      <c r="J228" s="687"/>
      <c r="K228" s="687"/>
      <c r="N228" s="685"/>
      <c r="O228" s="686"/>
      <c r="P228" s="687"/>
      <c r="Q228" s="687"/>
    </row>
    <row r="229" spans="7:17" ht="15.75" customHeight="1">
      <c r="G229" s="684"/>
      <c r="H229" s="685"/>
      <c r="I229" s="686"/>
      <c r="J229" s="687"/>
      <c r="K229" s="687"/>
      <c r="N229" s="685"/>
      <c r="O229" s="686"/>
      <c r="P229" s="687"/>
      <c r="Q229" s="687"/>
    </row>
    <row r="230" spans="7:17" ht="15.75" customHeight="1">
      <c r="G230" s="684"/>
      <c r="H230" s="685"/>
      <c r="I230" s="686"/>
      <c r="J230" s="687"/>
      <c r="K230" s="687"/>
      <c r="N230" s="685"/>
      <c r="O230" s="686"/>
      <c r="P230" s="687"/>
      <c r="Q230" s="687"/>
    </row>
    <row r="231" spans="7:17" ht="15.75" customHeight="1">
      <c r="G231" s="684"/>
      <c r="H231" s="685"/>
      <c r="I231" s="686"/>
      <c r="J231" s="687"/>
      <c r="K231" s="687"/>
      <c r="N231" s="685"/>
      <c r="O231" s="686"/>
      <c r="P231" s="687"/>
      <c r="Q231" s="687"/>
    </row>
    <row r="232" spans="7:17" ht="15.75" customHeight="1">
      <c r="G232" s="684"/>
      <c r="H232" s="685"/>
      <c r="I232" s="686"/>
      <c r="J232" s="687"/>
      <c r="K232" s="687"/>
      <c r="N232" s="685"/>
      <c r="O232" s="686"/>
      <c r="P232" s="687"/>
      <c r="Q232" s="687"/>
    </row>
    <row r="233" spans="7:17" ht="15.75" customHeight="1">
      <c r="G233" s="684"/>
      <c r="H233" s="685"/>
      <c r="I233" s="686"/>
      <c r="J233" s="687"/>
      <c r="K233" s="687"/>
      <c r="N233" s="685"/>
      <c r="O233" s="686"/>
      <c r="P233" s="687"/>
      <c r="Q233" s="687"/>
    </row>
    <row r="234" spans="7:17" ht="15.75" customHeight="1">
      <c r="G234" s="684"/>
      <c r="H234" s="685"/>
      <c r="I234" s="686"/>
      <c r="J234" s="687"/>
      <c r="K234" s="687"/>
      <c r="N234" s="685"/>
      <c r="O234" s="686"/>
      <c r="P234" s="687"/>
      <c r="Q234" s="687"/>
    </row>
    <row r="235" spans="7:17" ht="15.75" customHeight="1">
      <c r="G235" s="684"/>
      <c r="H235" s="685"/>
      <c r="I235" s="686"/>
      <c r="J235" s="687"/>
      <c r="K235" s="687"/>
      <c r="N235" s="685"/>
      <c r="O235" s="686"/>
      <c r="P235" s="687"/>
      <c r="Q235" s="687"/>
    </row>
    <row r="236" spans="7:17" ht="15.75" customHeight="1">
      <c r="G236" s="684"/>
      <c r="H236" s="685"/>
      <c r="I236" s="686"/>
      <c r="J236" s="687"/>
      <c r="K236" s="687"/>
      <c r="N236" s="685"/>
      <c r="O236" s="686"/>
      <c r="P236" s="687"/>
      <c r="Q236" s="687"/>
    </row>
    <row r="237" spans="7:17" ht="15.75" customHeight="1">
      <c r="G237" s="684"/>
      <c r="H237" s="685"/>
      <c r="I237" s="686"/>
      <c r="J237" s="687"/>
      <c r="K237" s="687"/>
      <c r="N237" s="685"/>
      <c r="O237" s="686"/>
      <c r="P237" s="687"/>
      <c r="Q237" s="687"/>
    </row>
    <row r="238" spans="7:17" ht="15.75" customHeight="1">
      <c r="G238" s="684"/>
      <c r="H238" s="685"/>
      <c r="I238" s="686"/>
      <c r="J238" s="687"/>
      <c r="K238" s="687"/>
      <c r="N238" s="685"/>
      <c r="O238" s="686"/>
      <c r="P238" s="687"/>
      <c r="Q238" s="687"/>
    </row>
    <row r="239" spans="7:17" ht="15.75" customHeight="1">
      <c r="G239" s="684"/>
      <c r="H239" s="685"/>
      <c r="I239" s="686"/>
      <c r="J239" s="687"/>
      <c r="K239" s="687"/>
      <c r="N239" s="685"/>
      <c r="O239" s="686"/>
      <c r="P239" s="687"/>
      <c r="Q239" s="687"/>
    </row>
    <row r="240" spans="7:17" ht="15.75" customHeight="1">
      <c r="G240" s="684"/>
      <c r="H240" s="685"/>
      <c r="I240" s="686"/>
      <c r="J240" s="687"/>
      <c r="K240" s="687"/>
      <c r="N240" s="685"/>
      <c r="O240" s="686"/>
      <c r="P240" s="687"/>
      <c r="Q240" s="687"/>
    </row>
    <row r="241" spans="7:17" ht="15.75" customHeight="1">
      <c r="G241" s="684"/>
      <c r="H241" s="685"/>
      <c r="I241" s="686"/>
      <c r="J241" s="687"/>
      <c r="K241" s="687"/>
      <c r="N241" s="685"/>
      <c r="O241" s="686"/>
      <c r="P241" s="687"/>
      <c r="Q241" s="687"/>
    </row>
    <row r="242" spans="7:17" ht="15.75" customHeight="1">
      <c r="G242" s="684"/>
      <c r="H242" s="685"/>
      <c r="I242" s="686"/>
      <c r="J242" s="687"/>
      <c r="K242" s="687"/>
      <c r="N242" s="685"/>
      <c r="O242" s="686"/>
      <c r="P242" s="687"/>
      <c r="Q242" s="687"/>
    </row>
    <row r="243" spans="7:17" ht="15.75" customHeight="1">
      <c r="G243" s="684"/>
      <c r="H243" s="685"/>
      <c r="I243" s="686"/>
      <c r="J243" s="687"/>
      <c r="K243" s="687"/>
      <c r="N243" s="685"/>
      <c r="O243" s="686"/>
      <c r="P243" s="687"/>
      <c r="Q243" s="687"/>
    </row>
    <row r="244" spans="7:17" ht="15.75" customHeight="1">
      <c r="G244" s="684"/>
      <c r="H244" s="685"/>
      <c r="I244" s="686"/>
      <c r="J244" s="687"/>
      <c r="K244" s="687"/>
      <c r="N244" s="685"/>
      <c r="O244" s="686"/>
      <c r="P244" s="687"/>
      <c r="Q244" s="687"/>
    </row>
    <row r="245" spans="7:17" ht="15.75" customHeight="1">
      <c r="G245" s="684"/>
      <c r="H245" s="685"/>
      <c r="I245" s="686"/>
      <c r="J245" s="687"/>
      <c r="K245" s="687"/>
      <c r="N245" s="685"/>
      <c r="O245" s="686"/>
      <c r="P245" s="687"/>
      <c r="Q245" s="687"/>
    </row>
    <row r="246" spans="7:17" ht="15.75" customHeight="1">
      <c r="G246" s="684"/>
      <c r="H246" s="685"/>
      <c r="I246" s="686"/>
      <c r="J246" s="687"/>
      <c r="K246" s="687"/>
      <c r="N246" s="685"/>
      <c r="O246" s="686"/>
      <c r="P246" s="687"/>
      <c r="Q246" s="687"/>
    </row>
    <row r="247" spans="7:17" ht="15.75" customHeight="1">
      <c r="G247" s="684"/>
      <c r="H247" s="685"/>
      <c r="I247" s="686"/>
      <c r="J247" s="687"/>
      <c r="K247" s="687"/>
      <c r="N247" s="685"/>
      <c r="O247" s="686"/>
      <c r="P247" s="687"/>
      <c r="Q247" s="687"/>
    </row>
    <row r="248" spans="7:17" ht="15.75" customHeight="1">
      <c r="G248" s="684"/>
      <c r="H248" s="685"/>
      <c r="I248" s="686"/>
      <c r="J248" s="687"/>
      <c r="K248" s="687"/>
      <c r="N248" s="685"/>
      <c r="O248" s="686"/>
      <c r="P248" s="687"/>
      <c r="Q248" s="687"/>
    </row>
    <row r="249" spans="7:17" ht="15.75" customHeight="1">
      <c r="G249" s="684"/>
      <c r="H249" s="685"/>
      <c r="I249" s="686"/>
      <c r="J249" s="687"/>
      <c r="K249" s="687"/>
      <c r="N249" s="685"/>
      <c r="O249" s="686"/>
      <c r="P249" s="687"/>
      <c r="Q249" s="687"/>
    </row>
    <row r="250" spans="7:17" ht="15.75" customHeight="1">
      <c r="G250" s="684"/>
      <c r="H250" s="685"/>
      <c r="I250" s="686"/>
      <c r="J250" s="687"/>
      <c r="K250" s="687"/>
      <c r="N250" s="685"/>
      <c r="O250" s="686"/>
      <c r="P250" s="687"/>
      <c r="Q250" s="687"/>
    </row>
    <row r="251" spans="7:17" ht="15.75" customHeight="1">
      <c r="G251" s="684"/>
      <c r="H251" s="685"/>
      <c r="I251" s="686"/>
      <c r="J251" s="687"/>
      <c r="K251" s="687"/>
      <c r="N251" s="685"/>
      <c r="O251" s="686"/>
      <c r="P251" s="687"/>
      <c r="Q251" s="687"/>
    </row>
    <row r="252" spans="7:17" ht="15.75" customHeight="1">
      <c r="G252" s="684"/>
      <c r="H252" s="685"/>
      <c r="I252" s="686"/>
      <c r="J252" s="687"/>
      <c r="K252" s="687"/>
      <c r="N252" s="685"/>
      <c r="O252" s="686"/>
      <c r="P252" s="687"/>
      <c r="Q252" s="687"/>
    </row>
    <row r="253" spans="7:17" ht="15.75" customHeight="1">
      <c r="G253" s="684"/>
      <c r="H253" s="685"/>
      <c r="I253" s="686"/>
      <c r="J253" s="687"/>
      <c r="K253" s="687"/>
      <c r="N253" s="685"/>
      <c r="O253" s="686"/>
      <c r="P253" s="687"/>
      <c r="Q253" s="687"/>
    </row>
    <row r="254" spans="7:17" ht="15.75" customHeight="1">
      <c r="G254" s="684"/>
      <c r="H254" s="685"/>
      <c r="I254" s="686"/>
      <c r="J254" s="687"/>
      <c r="K254" s="687"/>
      <c r="N254" s="685"/>
      <c r="O254" s="686"/>
      <c r="P254" s="687"/>
      <c r="Q254" s="687"/>
    </row>
    <row r="255" spans="7:17" ht="15.75" customHeight="1">
      <c r="G255" s="684"/>
      <c r="H255" s="685"/>
      <c r="I255" s="686"/>
      <c r="J255" s="687"/>
      <c r="K255" s="687"/>
      <c r="N255" s="685"/>
      <c r="O255" s="686"/>
      <c r="P255" s="687"/>
      <c r="Q255" s="687"/>
    </row>
    <row r="256" spans="7:17" ht="15.75" customHeight="1">
      <c r="G256" s="684"/>
      <c r="H256" s="685"/>
      <c r="I256" s="686"/>
      <c r="J256" s="687"/>
      <c r="K256" s="687"/>
      <c r="N256" s="685"/>
      <c r="O256" s="686"/>
      <c r="P256" s="687"/>
      <c r="Q256" s="687"/>
    </row>
    <row r="257" spans="7:17" ht="15.75" customHeight="1">
      <c r="G257" s="684"/>
      <c r="H257" s="685"/>
      <c r="I257" s="686"/>
      <c r="J257" s="687"/>
      <c r="K257" s="687"/>
      <c r="N257" s="685"/>
      <c r="O257" s="686"/>
      <c r="P257" s="687"/>
      <c r="Q257" s="687"/>
    </row>
    <row r="258" spans="7:17" ht="15.75" customHeight="1">
      <c r="G258" s="684"/>
      <c r="H258" s="685"/>
      <c r="I258" s="686"/>
      <c r="J258" s="687"/>
      <c r="K258" s="687"/>
      <c r="N258" s="685"/>
      <c r="O258" s="686"/>
      <c r="P258" s="687"/>
      <c r="Q258" s="687"/>
    </row>
    <row r="259" spans="7:17" ht="15.75" customHeight="1">
      <c r="G259" s="684"/>
      <c r="H259" s="685"/>
      <c r="I259" s="686"/>
      <c r="J259" s="687"/>
      <c r="K259" s="687"/>
      <c r="N259" s="685"/>
      <c r="O259" s="686"/>
      <c r="P259" s="687"/>
      <c r="Q259" s="687"/>
    </row>
    <row r="260" spans="7:17" ht="15.75" customHeight="1">
      <c r="G260" s="684"/>
      <c r="H260" s="685"/>
      <c r="I260" s="686"/>
      <c r="J260" s="687"/>
      <c r="K260" s="687"/>
      <c r="N260" s="685"/>
      <c r="O260" s="686"/>
      <c r="P260" s="687"/>
      <c r="Q260" s="687"/>
    </row>
    <row r="261" spans="7:17" ht="15.75" customHeight="1">
      <c r="G261" s="684"/>
      <c r="H261" s="685"/>
      <c r="I261" s="686"/>
      <c r="J261" s="687"/>
      <c r="K261" s="687"/>
      <c r="N261" s="685"/>
      <c r="O261" s="686"/>
      <c r="P261" s="687"/>
      <c r="Q261" s="687"/>
    </row>
    <row r="262" spans="7:17" ht="15.75" customHeight="1">
      <c r="G262" s="684"/>
      <c r="H262" s="685"/>
      <c r="I262" s="686"/>
      <c r="J262" s="687"/>
      <c r="K262" s="687"/>
      <c r="N262" s="685"/>
      <c r="O262" s="686"/>
      <c r="P262" s="687"/>
      <c r="Q262" s="687"/>
    </row>
    <row r="263" spans="7:17" ht="15.75" customHeight="1">
      <c r="G263" s="684"/>
      <c r="H263" s="685"/>
      <c r="I263" s="686"/>
      <c r="J263" s="687"/>
      <c r="K263" s="687"/>
      <c r="N263" s="685"/>
      <c r="O263" s="686"/>
      <c r="P263" s="687"/>
      <c r="Q263" s="687"/>
    </row>
    <row r="264" spans="7:17" ht="15.75" customHeight="1">
      <c r="G264" s="684"/>
      <c r="H264" s="685"/>
      <c r="I264" s="686"/>
      <c r="J264" s="687"/>
      <c r="K264" s="687"/>
      <c r="N264" s="685"/>
      <c r="O264" s="686"/>
      <c r="P264" s="687"/>
      <c r="Q264" s="687"/>
    </row>
    <row r="265" spans="7:17" ht="15.75" customHeight="1">
      <c r="G265" s="684"/>
      <c r="H265" s="685"/>
      <c r="I265" s="686"/>
      <c r="J265" s="687"/>
      <c r="K265" s="687"/>
      <c r="N265" s="685"/>
      <c r="O265" s="686"/>
      <c r="P265" s="687"/>
      <c r="Q265" s="687"/>
    </row>
    <row r="266" spans="7:17" ht="15.75" customHeight="1">
      <c r="G266" s="684"/>
      <c r="H266" s="685"/>
      <c r="I266" s="686"/>
      <c r="J266" s="687"/>
      <c r="K266" s="687"/>
      <c r="N266" s="685"/>
      <c r="O266" s="686"/>
      <c r="P266" s="687"/>
      <c r="Q266" s="687"/>
    </row>
    <row r="267" spans="7:17" ht="15.75" customHeight="1">
      <c r="G267" s="684"/>
      <c r="H267" s="685"/>
      <c r="I267" s="686"/>
      <c r="J267" s="687"/>
      <c r="K267" s="687"/>
      <c r="N267" s="685"/>
      <c r="O267" s="686"/>
      <c r="P267" s="687"/>
      <c r="Q267" s="687"/>
    </row>
    <row r="268" spans="7:17" ht="15.75" customHeight="1">
      <c r="G268" s="684"/>
      <c r="H268" s="685"/>
      <c r="I268" s="686"/>
      <c r="J268" s="687"/>
      <c r="K268" s="687"/>
      <c r="N268" s="685"/>
      <c r="O268" s="686"/>
      <c r="P268" s="687"/>
      <c r="Q268" s="687"/>
    </row>
    <row r="269" spans="7:17" ht="15.75" customHeight="1">
      <c r="G269" s="684"/>
      <c r="H269" s="685"/>
      <c r="I269" s="686"/>
      <c r="J269" s="687"/>
      <c r="K269" s="687"/>
      <c r="N269" s="685"/>
      <c r="O269" s="686"/>
      <c r="P269" s="687"/>
      <c r="Q269" s="687"/>
    </row>
    <row r="270" spans="7:17" ht="15.75" customHeight="1">
      <c r="G270" s="684"/>
      <c r="H270" s="685"/>
      <c r="I270" s="686"/>
      <c r="J270" s="687"/>
      <c r="K270" s="687"/>
      <c r="N270" s="685"/>
      <c r="O270" s="686"/>
      <c r="P270" s="687"/>
      <c r="Q270" s="687"/>
    </row>
    <row r="271" spans="7:17" ht="15.75" customHeight="1">
      <c r="G271" s="684"/>
      <c r="H271" s="685"/>
      <c r="I271" s="686"/>
      <c r="J271" s="687"/>
      <c r="K271" s="687"/>
      <c r="N271" s="685"/>
      <c r="O271" s="686"/>
      <c r="P271" s="687"/>
      <c r="Q271" s="687"/>
    </row>
    <row r="272" spans="7:17" ht="15.75" customHeight="1">
      <c r="G272" s="684"/>
      <c r="H272" s="685"/>
      <c r="I272" s="686"/>
      <c r="J272" s="687"/>
      <c r="K272" s="687"/>
      <c r="N272" s="685"/>
      <c r="O272" s="686"/>
      <c r="P272" s="687"/>
      <c r="Q272" s="687"/>
    </row>
    <row r="273" spans="7:17" ht="15.75" customHeight="1">
      <c r="G273" s="684"/>
      <c r="H273" s="685"/>
      <c r="I273" s="686"/>
      <c r="J273" s="687"/>
      <c r="K273" s="687"/>
      <c r="N273" s="685"/>
      <c r="O273" s="686"/>
      <c r="P273" s="687"/>
      <c r="Q273" s="687"/>
    </row>
    <row r="274" spans="7:17" ht="15.75" customHeight="1">
      <c r="G274" s="684"/>
      <c r="H274" s="685"/>
      <c r="I274" s="686"/>
      <c r="J274" s="687"/>
      <c r="K274" s="687"/>
      <c r="N274" s="685"/>
      <c r="O274" s="686"/>
      <c r="P274" s="687"/>
      <c r="Q274" s="687"/>
    </row>
    <row r="275" spans="7:17" ht="15.75" customHeight="1">
      <c r="G275" s="684"/>
      <c r="H275" s="685"/>
      <c r="I275" s="686"/>
      <c r="J275" s="687"/>
      <c r="K275" s="687"/>
      <c r="N275" s="685"/>
      <c r="O275" s="686"/>
      <c r="P275" s="687"/>
      <c r="Q275" s="687"/>
    </row>
    <row r="276" spans="7:17" ht="15.75" customHeight="1">
      <c r="G276" s="684"/>
      <c r="H276" s="685"/>
      <c r="I276" s="686"/>
      <c r="J276" s="687"/>
      <c r="K276" s="687"/>
      <c r="N276" s="685"/>
      <c r="O276" s="686"/>
      <c r="P276" s="687"/>
      <c r="Q276" s="687"/>
    </row>
    <row r="277" spans="7:17" ht="15.75" customHeight="1">
      <c r="G277" s="684"/>
      <c r="H277" s="685"/>
      <c r="I277" s="686"/>
      <c r="J277" s="687"/>
      <c r="K277" s="687"/>
      <c r="N277" s="685"/>
      <c r="O277" s="686"/>
      <c r="P277" s="687"/>
      <c r="Q277" s="687"/>
    </row>
    <row r="278" spans="7:17" ht="15.75" customHeight="1">
      <c r="G278" s="684"/>
      <c r="H278" s="685"/>
      <c r="I278" s="686"/>
      <c r="J278" s="687"/>
      <c r="K278" s="687"/>
      <c r="N278" s="685"/>
      <c r="O278" s="686"/>
      <c r="P278" s="687"/>
      <c r="Q278" s="687"/>
    </row>
    <row r="279" spans="7:17" ht="15.75" customHeight="1">
      <c r="G279" s="684"/>
      <c r="H279" s="685"/>
      <c r="I279" s="686"/>
      <c r="J279" s="687"/>
      <c r="K279" s="687"/>
      <c r="N279" s="685"/>
      <c r="O279" s="686"/>
      <c r="P279" s="687"/>
      <c r="Q279" s="687"/>
    </row>
    <row r="280" spans="7:17" ht="15.75" customHeight="1">
      <c r="G280" s="684"/>
      <c r="H280" s="685"/>
      <c r="I280" s="686"/>
      <c r="J280" s="687"/>
      <c r="K280" s="687"/>
      <c r="N280" s="685"/>
      <c r="O280" s="686"/>
      <c r="P280" s="687"/>
      <c r="Q280" s="687"/>
    </row>
    <row r="281" spans="7:17" ht="15.75" customHeight="1">
      <c r="G281" s="684"/>
      <c r="H281" s="685"/>
      <c r="I281" s="686"/>
      <c r="J281" s="687"/>
      <c r="K281" s="687"/>
      <c r="N281" s="685"/>
      <c r="O281" s="686"/>
      <c r="P281" s="687"/>
      <c r="Q281" s="687"/>
    </row>
    <row r="282" spans="7:17" ht="15.75" customHeight="1">
      <c r="G282" s="684"/>
      <c r="H282" s="685"/>
      <c r="I282" s="686"/>
      <c r="J282" s="687"/>
      <c r="K282" s="687"/>
      <c r="N282" s="685"/>
      <c r="O282" s="686"/>
      <c r="P282" s="687"/>
      <c r="Q282" s="687"/>
    </row>
    <row r="283" spans="7:17" ht="15.75" customHeight="1">
      <c r="G283" s="684"/>
      <c r="H283" s="685"/>
      <c r="I283" s="686"/>
      <c r="J283" s="687"/>
      <c r="K283" s="687"/>
      <c r="N283" s="685"/>
      <c r="O283" s="686"/>
      <c r="P283" s="687"/>
      <c r="Q283" s="687"/>
    </row>
    <row r="284" spans="7:17" ht="15.75" customHeight="1">
      <c r="G284" s="684"/>
      <c r="H284" s="685"/>
      <c r="I284" s="686"/>
      <c r="J284" s="687"/>
      <c r="K284" s="687"/>
      <c r="N284" s="685"/>
      <c r="O284" s="686"/>
      <c r="P284" s="687"/>
      <c r="Q284" s="687"/>
    </row>
    <row r="285" spans="7:17" ht="15.75" customHeight="1">
      <c r="G285" s="684"/>
      <c r="H285" s="685"/>
      <c r="I285" s="686"/>
      <c r="J285" s="687"/>
      <c r="K285" s="687"/>
      <c r="N285" s="685"/>
      <c r="O285" s="686"/>
      <c r="P285" s="687"/>
      <c r="Q285" s="687"/>
    </row>
    <row r="286" spans="7:17" ht="15.75" customHeight="1">
      <c r="G286" s="684"/>
      <c r="H286" s="685"/>
      <c r="I286" s="686"/>
      <c r="J286" s="687"/>
      <c r="K286" s="687"/>
      <c r="N286" s="685"/>
      <c r="O286" s="686"/>
      <c r="P286" s="687"/>
      <c r="Q286" s="687"/>
    </row>
    <row r="287" spans="7:17" ht="15.75" customHeight="1">
      <c r="G287" s="684"/>
      <c r="H287" s="685"/>
      <c r="I287" s="686"/>
      <c r="J287" s="687"/>
      <c r="K287" s="687"/>
      <c r="N287" s="685"/>
      <c r="O287" s="686"/>
      <c r="P287" s="687"/>
      <c r="Q287" s="687"/>
    </row>
    <row r="288" spans="7:17" ht="15.75" customHeight="1">
      <c r="G288" s="684"/>
      <c r="H288" s="685"/>
      <c r="I288" s="686"/>
      <c r="J288" s="687"/>
      <c r="K288" s="687"/>
      <c r="N288" s="685"/>
      <c r="O288" s="686"/>
      <c r="P288" s="687"/>
      <c r="Q288" s="687"/>
    </row>
    <row r="289" spans="7:17" ht="15.75" customHeight="1">
      <c r="G289" s="684"/>
      <c r="H289" s="685"/>
      <c r="I289" s="686"/>
      <c r="J289" s="687"/>
      <c r="K289" s="687"/>
      <c r="N289" s="685"/>
      <c r="O289" s="686"/>
      <c r="P289" s="687"/>
      <c r="Q289" s="687"/>
    </row>
    <row r="290" spans="7:17" ht="15.75" customHeight="1">
      <c r="G290" s="684"/>
      <c r="H290" s="685"/>
      <c r="I290" s="686"/>
      <c r="J290" s="687"/>
      <c r="K290" s="687"/>
      <c r="N290" s="685"/>
      <c r="O290" s="686"/>
      <c r="P290" s="687"/>
      <c r="Q290" s="687"/>
    </row>
    <row r="291" spans="7:17" ht="15.75" customHeight="1">
      <c r="G291" s="684"/>
      <c r="H291" s="685"/>
      <c r="I291" s="686"/>
      <c r="J291" s="687"/>
      <c r="K291" s="687"/>
      <c r="N291" s="685"/>
      <c r="O291" s="686"/>
      <c r="P291" s="687"/>
      <c r="Q291" s="687"/>
    </row>
    <row r="292" spans="7:17" ht="15.75" customHeight="1">
      <c r="G292" s="684"/>
      <c r="H292" s="685"/>
      <c r="I292" s="686"/>
      <c r="J292" s="687"/>
      <c r="K292" s="687"/>
      <c r="N292" s="685"/>
      <c r="O292" s="686"/>
      <c r="P292" s="687"/>
      <c r="Q292" s="687"/>
    </row>
    <row r="293" spans="7:17" ht="15.75" customHeight="1">
      <c r="G293" s="684"/>
      <c r="H293" s="685"/>
      <c r="I293" s="686"/>
      <c r="J293" s="687"/>
      <c r="K293" s="687"/>
      <c r="N293" s="685"/>
      <c r="O293" s="686"/>
      <c r="P293" s="687"/>
      <c r="Q293" s="687"/>
    </row>
    <row r="294" spans="7:17" ht="15.75" customHeight="1">
      <c r="G294" s="684"/>
      <c r="H294" s="685"/>
      <c r="I294" s="686"/>
      <c r="J294" s="687"/>
      <c r="K294" s="687"/>
      <c r="N294" s="685"/>
      <c r="O294" s="686"/>
      <c r="P294" s="687"/>
      <c r="Q294" s="687"/>
    </row>
    <row r="295" spans="7:17" ht="15.75" customHeight="1">
      <c r="G295" s="684"/>
      <c r="H295" s="685"/>
      <c r="I295" s="686"/>
      <c r="J295" s="687"/>
      <c r="K295" s="687"/>
      <c r="N295" s="685"/>
      <c r="O295" s="686"/>
      <c r="P295" s="687"/>
      <c r="Q295" s="687"/>
    </row>
    <row r="296" spans="7:17" ht="15.75" customHeight="1">
      <c r="G296" s="684"/>
      <c r="H296" s="685"/>
      <c r="I296" s="686"/>
      <c r="J296" s="687"/>
      <c r="K296" s="687"/>
      <c r="N296" s="685"/>
      <c r="O296" s="686"/>
      <c r="P296" s="687"/>
      <c r="Q296" s="687"/>
    </row>
    <row r="297" spans="7:17" ht="15.75" customHeight="1">
      <c r="G297" s="684"/>
      <c r="H297" s="685"/>
      <c r="I297" s="686"/>
      <c r="J297" s="687"/>
      <c r="K297" s="687"/>
      <c r="N297" s="685"/>
      <c r="O297" s="686"/>
      <c r="P297" s="687"/>
      <c r="Q297" s="687"/>
    </row>
    <row r="298" spans="7:17" ht="15.75" customHeight="1">
      <c r="G298" s="684"/>
      <c r="H298" s="685"/>
      <c r="I298" s="686"/>
      <c r="J298" s="687"/>
      <c r="K298" s="687"/>
      <c r="N298" s="685"/>
      <c r="O298" s="686"/>
      <c r="P298" s="687"/>
      <c r="Q298" s="687"/>
    </row>
    <row r="299" spans="7:17" ht="15.75" customHeight="1">
      <c r="G299" s="684"/>
      <c r="H299" s="685"/>
      <c r="I299" s="686"/>
      <c r="J299" s="687"/>
      <c r="K299" s="687"/>
      <c r="N299" s="685"/>
      <c r="O299" s="686"/>
      <c r="P299" s="687"/>
      <c r="Q299" s="687"/>
    </row>
    <row r="300" spans="7:17" ht="15.75" customHeight="1">
      <c r="G300" s="684"/>
      <c r="H300" s="685"/>
      <c r="I300" s="686"/>
      <c r="J300" s="687"/>
      <c r="K300" s="687"/>
      <c r="N300" s="685"/>
      <c r="O300" s="686"/>
      <c r="P300" s="687"/>
      <c r="Q300" s="687"/>
    </row>
    <row r="301" spans="7:17" ht="15.75" customHeight="1">
      <c r="G301" s="684"/>
      <c r="H301" s="685"/>
      <c r="I301" s="686"/>
      <c r="J301" s="687"/>
      <c r="K301" s="687"/>
      <c r="N301" s="685"/>
      <c r="O301" s="686"/>
      <c r="P301" s="687"/>
      <c r="Q301" s="687"/>
    </row>
    <row r="302" spans="7:17" ht="15.75" customHeight="1">
      <c r="G302" s="684"/>
      <c r="H302" s="685"/>
      <c r="I302" s="686"/>
      <c r="J302" s="687"/>
      <c r="K302" s="687"/>
      <c r="N302" s="685"/>
      <c r="O302" s="686"/>
      <c r="P302" s="687"/>
      <c r="Q302" s="687"/>
    </row>
    <row r="303" spans="7:17" ht="15.75" customHeight="1">
      <c r="G303" s="684"/>
      <c r="H303" s="685"/>
      <c r="I303" s="686"/>
      <c r="J303" s="687"/>
      <c r="K303" s="687"/>
      <c r="N303" s="685"/>
      <c r="O303" s="686"/>
      <c r="P303" s="687"/>
      <c r="Q303" s="687"/>
    </row>
    <row r="304" spans="7:17" ht="15.75" customHeight="1">
      <c r="G304" s="684"/>
      <c r="H304" s="685"/>
      <c r="I304" s="686"/>
      <c r="J304" s="687"/>
      <c r="K304" s="687"/>
      <c r="N304" s="685"/>
      <c r="O304" s="686"/>
      <c r="P304" s="687"/>
      <c r="Q304" s="687"/>
    </row>
    <row r="305" spans="7:17" ht="15.75" customHeight="1">
      <c r="G305" s="684"/>
      <c r="H305" s="685"/>
      <c r="I305" s="686"/>
      <c r="J305" s="687"/>
      <c r="K305" s="687"/>
      <c r="N305" s="685"/>
      <c r="O305" s="686"/>
      <c r="P305" s="687"/>
      <c r="Q305" s="687"/>
    </row>
    <row r="306" spans="7:17" ht="15.75" customHeight="1">
      <c r="G306" s="684"/>
      <c r="H306" s="685"/>
      <c r="I306" s="686"/>
      <c r="J306" s="687"/>
      <c r="K306" s="687"/>
      <c r="N306" s="685"/>
      <c r="O306" s="686"/>
      <c r="P306" s="687"/>
      <c r="Q306" s="687"/>
    </row>
    <row r="307" spans="7:17" ht="15.75" customHeight="1">
      <c r="G307" s="684"/>
      <c r="H307" s="685"/>
      <c r="I307" s="686"/>
      <c r="J307" s="687"/>
      <c r="K307" s="687"/>
      <c r="N307" s="685"/>
      <c r="O307" s="686"/>
      <c r="P307" s="687"/>
      <c r="Q307" s="687"/>
    </row>
    <row r="308" spans="7:17" ht="15.75" customHeight="1">
      <c r="G308" s="684"/>
      <c r="H308" s="685"/>
      <c r="I308" s="686"/>
      <c r="J308" s="687"/>
      <c r="K308" s="687"/>
      <c r="N308" s="685"/>
      <c r="O308" s="686"/>
      <c r="P308" s="687"/>
      <c r="Q308" s="687"/>
    </row>
    <row r="309" spans="7:17" ht="15.75" customHeight="1">
      <c r="G309" s="684"/>
      <c r="H309" s="685"/>
      <c r="I309" s="686"/>
      <c r="J309" s="687"/>
      <c r="K309" s="687"/>
      <c r="N309" s="685"/>
      <c r="O309" s="686"/>
      <c r="P309" s="687"/>
      <c r="Q309" s="687"/>
    </row>
    <row r="310" spans="7:17" ht="15.75" customHeight="1">
      <c r="G310" s="684"/>
      <c r="H310" s="685"/>
      <c r="I310" s="686"/>
      <c r="J310" s="687"/>
      <c r="K310" s="687"/>
      <c r="N310" s="685"/>
      <c r="O310" s="686"/>
      <c r="P310" s="687"/>
      <c r="Q310" s="687"/>
    </row>
    <row r="311" spans="7:17" ht="15.75" customHeight="1">
      <c r="G311" s="684"/>
      <c r="H311" s="685"/>
      <c r="I311" s="686"/>
      <c r="J311" s="687"/>
      <c r="K311" s="687"/>
      <c r="N311" s="685"/>
      <c r="O311" s="686"/>
      <c r="P311" s="687"/>
      <c r="Q311" s="687"/>
    </row>
    <row r="312" spans="7:17" ht="15.75" customHeight="1">
      <c r="G312" s="684"/>
      <c r="H312" s="685"/>
      <c r="I312" s="686"/>
      <c r="J312" s="687"/>
      <c r="K312" s="687"/>
      <c r="N312" s="685"/>
      <c r="O312" s="686"/>
      <c r="P312" s="687"/>
      <c r="Q312" s="687"/>
    </row>
    <row r="313" spans="7:17" ht="15.75" customHeight="1">
      <c r="G313" s="684"/>
      <c r="H313" s="685"/>
      <c r="I313" s="686"/>
      <c r="J313" s="687"/>
      <c r="K313" s="687"/>
      <c r="N313" s="685"/>
      <c r="O313" s="686"/>
      <c r="P313" s="687"/>
      <c r="Q313" s="687"/>
    </row>
    <row r="314" spans="7:17" ht="15.75" customHeight="1">
      <c r="G314" s="684"/>
      <c r="H314" s="685"/>
      <c r="I314" s="686"/>
      <c r="J314" s="687"/>
      <c r="K314" s="687"/>
      <c r="N314" s="685"/>
      <c r="O314" s="686"/>
      <c r="P314" s="687"/>
      <c r="Q314" s="687"/>
    </row>
    <row r="315" spans="7:17" ht="15.75" customHeight="1">
      <c r="G315" s="684"/>
      <c r="H315" s="685"/>
      <c r="I315" s="686"/>
      <c r="J315" s="687"/>
      <c r="K315" s="687"/>
      <c r="N315" s="685"/>
      <c r="O315" s="686"/>
      <c r="P315" s="687"/>
      <c r="Q315" s="687"/>
    </row>
    <row r="316" spans="7:17" ht="15.75" customHeight="1">
      <c r="G316" s="684"/>
      <c r="H316" s="685"/>
      <c r="I316" s="686"/>
      <c r="J316" s="687"/>
      <c r="K316" s="687"/>
      <c r="N316" s="685"/>
      <c r="O316" s="686"/>
      <c r="P316" s="687"/>
      <c r="Q316" s="687"/>
    </row>
    <row r="317" spans="7:17" ht="15.75" customHeight="1">
      <c r="G317" s="684"/>
      <c r="H317" s="685"/>
      <c r="I317" s="686"/>
      <c r="J317" s="687"/>
      <c r="K317" s="687"/>
      <c r="N317" s="685"/>
      <c r="O317" s="686"/>
      <c r="P317" s="687"/>
      <c r="Q317" s="687"/>
    </row>
    <row r="318" spans="7:17" ht="15.75" customHeight="1">
      <c r="G318" s="684"/>
      <c r="H318" s="685"/>
      <c r="I318" s="686"/>
      <c r="J318" s="687"/>
      <c r="K318" s="687"/>
      <c r="N318" s="685"/>
      <c r="O318" s="686"/>
      <c r="P318" s="687"/>
      <c r="Q318" s="687"/>
    </row>
    <row r="319" spans="7:17" ht="15.75" customHeight="1">
      <c r="G319" s="684"/>
      <c r="H319" s="685"/>
      <c r="I319" s="686"/>
      <c r="J319" s="687"/>
      <c r="K319" s="687"/>
      <c r="N319" s="685"/>
      <c r="O319" s="686"/>
      <c r="P319" s="687"/>
      <c r="Q319" s="687"/>
    </row>
    <row r="320" spans="7:17" ht="15.75" customHeight="1">
      <c r="G320" s="684"/>
      <c r="H320" s="685"/>
      <c r="I320" s="686"/>
      <c r="J320" s="687"/>
      <c r="K320" s="687"/>
      <c r="N320" s="685"/>
      <c r="O320" s="686"/>
      <c r="P320" s="687"/>
      <c r="Q320" s="687"/>
    </row>
    <row r="321" spans="7:17" ht="15.75" customHeight="1">
      <c r="G321" s="684"/>
      <c r="H321" s="685"/>
      <c r="I321" s="686"/>
      <c r="J321" s="687"/>
      <c r="K321" s="687"/>
      <c r="N321" s="685"/>
      <c r="O321" s="686"/>
      <c r="P321" s="687"/>
      <c r="Q321" s="687"/>
    </row>
    <row r="322" spans="7:17" ht="15.75" customHeight="1">
      <c r="G322" s="684"/>
      <c r="H322" s="685"/>
      <c r="I322" s="686"/>
      <c r="J322" s="687"/>
      <c r="K322" s="687"/>
      <c r="N322" s="685"/>
      <c r="O322" s="686"/>
      <c r="P322" s="687"/>
      <c r="Q322" s="687"/>
    </row>
    <row r="323" spans="7:17" ht="15.75" customHeight="1">
      <c r="G323" s="684"/>
      <c r="H323" s="685"/>
      <c r="I323" s="686"/>
      <c r="J323" s="687"/>
      <c r="K323" s="687"/>
      <c r="N323" s="685"/>
      <c r="O323" s="686"/>
      <c r="P323" s="687"/>
      <c r="Q323" s="687"/>
    </row>
    <row r="324" spans="7:17" ht="15.75" customHeight="1">
      <c r="G324" s="684"/>
      <c r="H324" s="685"/>
      <c r="I324" s="686"/>
      <c r="J324" s="687"/>
      <c r="K324" s="687"/>
      <c r="N324" s="685"/>
      <c r="O324" s="686"/>
      <c r="P324" s="687"/>
      <c r="Q324" s="687"/>
    </row>
    <row r="325" spans="7:17" ht="15.75" customHeight="1">
      <c r="G325" s="684"/>
      <c r="H325" s="685"/>
      <c r="I325" s="686"/>
      <c r="J325" s="687"/>
      <c r="K325" s="687"/>
      <c r="N325" s="685"/>
      <c r="O325" s="686"/>
      <c r="P325" s="687"/>
      <c r="Q325" s="687"/>
    </row>
    <row r="326" spans="7:17" ht="15.75" customHeight="1">
      <c r="G326" s="684"/>
      <c r="H326" s="685"/>
      <c r="I326" s="686"/>
      <c r="J326" s="687"/>
      <c r="K326" s="687"/>
      <c r="N326" s="685"/>
      <c r="O326" s="686"/>
      <c r="P326" s="687"/>
      <c r="Q326" s="687"/>
    </row>
    <row r="327" spans="7:17" ht="15.75" customHeight="1">
      <c r="G327" s="684"/>
      <c r="H327" s="685"/>
      <c r="I327" s="686"/>
      <c r="J327" s="687"/>
      <c r="K327" s="687"/>
      <c r="N327" s="685"/>
      <c r="O327" s="686"/>
      <c r="P327" s="687"/>
      <c r="Q327" s="687"/>
    </row>
    <row r="328" spans="7:17" ht="15.75" customHeight="1">
      <c r="G328" s="684"/>
      <c r="H328" s="685"/>
      <c r="I328" s="686"/>
      <c r="J328" s="687"/>
      <c r="K328" s="687"/>
      <c r="N328" s="685"/>
      <c r="O328" s="686"/>
      <c r="P328" s="687"/>
      <c r="Q328" s="687"/>
    </row>
    <row r="329" spans="7:17" ht="15.75" customHeight="1">
      <c r="G329" s="684"/>
      <c r="H329" s="685"/>
      <c r="I329" s="686"/>
      <c r="J329" s="687"/>
      <c r="K329" s="687"/>
      <c r="N329" s="685"/>
      <c r="O329" s="686"/>
      <c r="P329" s="687"/>
      <c r="Q329" s="687"/>
    </row>
    <row r="330" spans="7:17" ht="15.75" customHeight="1">
      <c r="G330" s="684"/>
      <c r="H330" s="685"/>
      <c r="I330" s="686"/>
      <c r="J330" s="687"/>
      <c r="K330" s="687"/>
      <c r="N330" s="685"/>
      <c r="O330" s="686"/>
      <c r="P330" s="687"/>
      <c r="Q330" s="687"/>
    </row>
    <row r="331" spans="7:17" ht="15.75" customHeight="1">
      <c r="G331" s="684"/>
      <c r="H331" s="685"/>
      <c r="I331" s="686"/>
      <c r="J331" s="687"/>
      <c r="K331" s="687"/>
      <c r="N331" s="685"/>
      <c r="O331" s="686"/>
      <c r="P331" s="687"/>
      <c r="Q331" s="687"/>
    </row>
    <row r="332" spans="7:17" ht="15.75" customHeight="1">
      <c r="G332" s="684"/>
      <c r="H332" s="685"/>
      <c r="I332" s="686"/>
      <c r="J332" s="687"/>
      <c r="K332" s="687"/>
      <c r="N332" s="685"/>
      <c r="O332" s="686"/>
      <c r="P332" s="687"/>
      <c r="Q332" s="687"/>
    </row>
    <row r="333" spans="7:17" ht="15.75" customHeight="1">
      <c r="G333" s="684"/>
      <c r="H333" s="685"/>
      <c r="I333" s="686"/>
      <c r="J333" s="687"/>
      <c r="K333" s="687"/>
      <c r="N333" s="685"/>
      <c r="O333" s="686"/>
      <c r="P333" s="687"/>
      <c r="Q333" s="687"/>
    </row>
    <row r="334" spans="7:17" ht="15.75" customHeight="1">
      <c r="G334" s="684"/>
      <c r="H334" s="685"/>
      <c r="I334" s="686"/>
      <c r="J334" s="687"/>
      <c r="K334" s="687"/>
      <c r="N334" s="685"/>
      <c r="O334" s="686"/>
      <c r="P334" s="687"/>
      <c r="Q334" s="687"/>
    </row>
    <row r="335" spans="7:17" ht="15.75" customHeight="1">
      <c r="G335" s="684"/>
      <c r="H335" s="685"/>
      <c r="I335" s="686"/>
      <c r="J335" s="687"/>
      <c r="K335" s="687"/>
      <c r="N335" s="685"/>
      <c r="O335" s="686"/>
      <c r="P335" s="687"/>
      <c r="Q335" s="687"/>
    </row>
    <row r="336" spans="7:17" ht="15.75" customHeight="1">
      <c r="G336" s="684"/>
      <c r="H336" s="685"/>
      <c r="I336" s="686"/>
      <c r="J336" s="687"/>
      <c r="K336" s="687"/>
      <c r="N336" s="685"/>
      <c r="O336" s="686"/>
      <c r="P336" s="687"/>
      <c r="Q336" s="687"/>
    </row>
    <row r="337" spans="7:17" ht="15.75" customHeight="1">
      <c r="G337" s="684"/>
      <c r="H337" s="685"/>
      <c r="I337" s="686"/>
      <c r="J337" s="687"/>
      <c r="K337" s="687"/>
      <c r="N337" s="685"/>
      <c r="O337" s="686"/>
      <c r="P337" s="687"/>
      <c r="Q337" s="687"/>
    </row>
    <row r="338" spans="7:17" ht="15.75" customHeight="1">
      <c r="G338" s="684"/>
      <c r="H338" s="685"/>
      <c r="I338" s="686"/>
      <c r="J338" s="687"/>
      <c r="K338" s="687"/>
      <c r="N338" s="685"/>
      <c r="O338" s="686"/>
      <c r="P338" s="687"/>
      <c r="Q338" s="687"/>
    </row>
    <row r="339" spans="7:17" ht="15.75" customHeight="1">
      <c r="G339" s="684"/>
      <c r="H339" s="685"/>
      <c r="I339" s="686"/>
      <c r="J339" s="687"/>
      <c r="K339" s="687"/>
      <c r="N339" s="685"/>
      <c r="O339" s="686"/>
      <c r="P339" s="687"/>
      <c r="Q339" s="687"/>
    </row>
    <row r="340" spans="7:17" ht="15.75" customHeight="1">
      <c r="G340" s="684"/>
      <c r="H340" s="685"/>
      <c r="I340" s="686"/>
      <c r="J340" s="687"/>
      <c r="K340" s="687"/>
      <c r="N340" s="685"/>
      <c r="O340" s="686"/>
      <c r="P340" s="687"/>
      <c r="Q340" s="687"/>
    </row>
    <row r="341" spans="7:17" ht="15.75" customHeight="1">
      <c r="G341" s="684"/>
      <c r="H341" s="685"/>
      <c r="I341" s="686"/>
      <c r="J341" s="687"/>
      <c r="K341" s="687"/>
      <c r="N341" s="685"/>
      <c r="O341" s="686"/>
      <c r="P341" s="687"/>
      <c r="Q341" s="687"/>
    </row>
    <row r="342" spans="7:17" ht="15.75" customHeight="1">
      <c r="G342" s="684"/>
      <c r="H342" s="685"/>
      <c r="I342" s="686"/>
      <c r="J342" s="687"/>
      <c r="K342" s="687"/>
      <c r="N342" s="685"/>
      <c r="O342" s="686"/>
      <c r="P342" s="687"/>
      <c r="Q342" s="687"/>
    </row>
    <row r="343" spans="7:17" ht="15.75" customHeight="1">
      <c r="G343" s="684"/>
      <c r="H343" s="685"/>
      <c r="I343" s="686"/>
      <c r="J343" s="687"/>
      <c r="K343" s="687"/>
      <c r="N343" s="685"/>
      <c r="O343" s="686"/>
      <c r="P343" s="687"/>
      <c r="Q343" s="687"/>
    </row>
    <row r="344" spans="7:17" ht="15.75" customHeight="1">
      <c r="G344" s="684"/>
      <c r="H344" s="685"/>
      <c r="I344" s="686"/>
      <c r="J344" s="687"/>
      <c r="K344" s="687"/>
      <c r="N344" s="685"/>
      <c r="O344" s="686"/>
      <c r="P344" s="687"/>
      <c r="Q344" s="687"/>
    </row>
    <row r="345" spans="7:17" ht="15.75" customHeight="1">
      <c r="G345" s="684"/>
      <c r="H345" s="685"/>
      <c r="I345" s="686"/>
      <c r="J345" s="687"/>
      <c r="K345" s="687"/>
      <c r="N345" s="685"/>
      <c r="O345" s="686"/>
      <c r="P345" s="687"/>
      <c r="Q345" s="687"/>
    </row>
    <row r="346" spans="7:17" ht="15.75" customHeight="1">
      <c r="G346" s="684"/>
      <c r="H346" s="685"/>
      <c r="I346" s="686"/>
      <c r="J346" s="687"/>
      <c r="K346" s="687"/>
      <c r="N346" s="685"/>
      <c r="O346" s="686"/>
      <c r="P346" s="687"/>
      <c r="Q346" s="687"/>
    </row>
    <row r="347" spans="7:17" ht="15.75" customHeight="1">
      <c r="G347" s="684"/>
      <c r="H347" s="685"/>
      <c r="I347" s="686"/>
      <c r="J347" s="687"/>
      <c r="K347" s="687"/>
      <c r="N347" s="685"/>
      <c r="O347" s="686"/>
      <c r="P347" s="687"/>
      <c r="Q347" s="687"/>
    </row>
    <row r="348" spans="7:17" ht="15.75" customHeight="1">
      <c r="G348" s="684"/>
      <c r="H348" s="685"/>
      <c r="I348" s="686"/>
      <c r="J348" s="687"/>
      <c r="K348" s="687"/>
      <c r="N348" s="685"/>
      <c r="O348" s="686"/>
      <c r="P348" s="687"/>
      <c r="Q348" s="687"/>
    </row>
    <row r="349" spans="7:17" ht="15.75" customHeight="1">
      <c r="G349" s="684"/>
      <c r="H349" s="685"/>
      <c r="I349" s="686"/>
      <c r="J349" s="687"/>
      <c r="K349" s="687"/>
      <c r="N349" s="685"/>
      <c r="O349" s="686"/>
      <c r="P349" s="687"/>
      <c r="Q349" s="687"/>
    </row>
    <row r="350" spans="7:17" ht="15.75" customHeight="1">
      <c r="G350" s="684"/>
      <c r="H350" s="685"/>
      <c r="I350" s="686"/>
      <c r="J350" s="687"/>
      <c r="K350" s="687"/>
      <c r="N350" s="685"/>
      <c r="O350" s="686"/>
      <c r="P350" s="687"/>
      <c r="Q350" s="687"/>
    </row>
    <row r="351" spans="7:17" ht="15.75" customHeight="1">
      <c r="G351" s="684"/>
      <c r="H351" s="685"/>
      <c r="I351" s="686"/>
      <c r="J351" s="687"/>
      <c r="K351" s="687"/>
      <c r="N351" s="685"/>
      <c r="O351" s="686"/>
      <c r="P351" s="687"/>
      <c r="Q351" s="687"/>
    </row>
    <row r="352" spans="7:17" ht="15.75" customHeight="1">
      <c r="G352" s="684"/>
      <c r="H352" s="685"/>
      <c r="I352" s="686"/>
      <c r="J352" s="687"/>
      <c r="K352" s="687"/>
      <c r="N352" s="685"/>
      <c r="O352" s="686"/>
      <c r="P352" s="687"/>
      <c r="Q352" s="687"/>
    </row>
    <row r="353" spans="7:17" ht="15.75" customHeight="1">
      <c r="G353" s="684"/>
      <c r="H353" s="685"/>
      <c r="I353" s="686"/>
      <c r="J353" s="687"/>
      <c r="K353" s="687"/>
      <c r="N353" s="685"/>
      <c r="O353" s="686"/>
      <c r="P353" s="687"/>
      <c r="Q353" s="687"/>
    </row>
    <row r="354" spans="7:17" ht="15.75" customHeight="1">
      <c r="G354" s="684"/>
      <c r="H354" s="685"/>
      <c r="I354" s="686"/>
      <c r="J354" s="687"/>
      <c r="K354" s="687"/>
      <c r="N354" s="685"/>
      <c r="O354" s="686"/>
      <c r="P354" s="687"/>
      <c r="Q354" s="687"/>
    </row>
    <row r="355" spans="7:17" ht="15.75" customHeight="1">
      <c r="G355" s="684"/>
      <c r="H355" s="685"/>
      <c r="I355" s="686"/>
      <c r="J355" s="687"/>
      <c r="K355" s="687"/>
      <c r="N355" s="685"/>
      <c r="O355" s="686"/>
      <c r="P355" s="687"/>
      <c r="Q355" s="687"/>
    </row>
    <row r="356" spans="7:17" ht="15.75" customHeight="1">
      <c r="G356" s="684"/>
      <c r="H356" s="685"/>
      <c r="I356" s="686"/>
      <c r="J356" s="687"/>
      <c r="K356" s="687"/>
      <c r="N356" s="685"/>
      <c r="O356" s="686"/>
      <c r="P356" s="687"/>
      <c r="Q356" s="687"/>
    </row>
    <row r="357" spans="7:17" ht="15.75" customHeight="1">
      <c r="G357" s="684"/>
      <c r="H357" s="685"/>
      <c r="I357" s="686"/>
      <c r="J357" s="687"/>
      <c r="K357" s="687"/>
      <c r="N357" s="685"/>
      <c r="O357" s="686"/>
      <c r="P357" s="687"/>
      <c r="Q357" s="687"/>
    </row>
    <row r="358" spans="7:17" ht="15.75" customHeight="1">
      <c r="G358" s="684"/>
      <c r="H358" s="685"/>
      <c r="I358" s="686"/>
      <c r="J358" s="687"/>
      <c r="K358" s="687"/>
      <c r="N358" s="685"/>
      <c r="O358" s="686"/>
      <c r="P358" s="687"/>
      <c r="Q358" s="687"/>
    </row>
    <row r="359" spans="7:17" ht="15.75" customHeight="1">
      <c r="G359" s="684"/>
      <c r="H359" s="685"/>
      <c r="I359" s="686"/>
      <c r="J359" s="687"/>
      <c r="K359" s="687"/>
      <c r="N359" s="685"/>
      <c r="O359" s="686"/>
      <c r="P359" s="687"/>
      <c r="Q359" s="687"/>
    </row>
    <row r="360" spans="7:17" ht="15.75" customHeight="1">
      <c r="G360" s="684"/>
      <c r="H360" s="685"/>
      <c r="I360" s="686"/>
      <c r="J360" s="687"/>
      <c r="K360" s="687"/>
      <c r="N360" s="685"/>
      <c r="O360" s="686"/>
      <c r="P360" s="687"/>
      <c r="Q360" s="687"/>
    </row>
    <row r="361" spans="7:17" ht="15.75" customHeight="1">
      <c r="G361" s="684"/>
      <c r="H361" s="685"/>
      <c r="I361" s="686"/>
      <c r="J361" s="687"/>
      <c r="K361" s="687"/>
      <c r="N361" s="685"/>
      <c r="O361" s="686"/>
      <c r="P361" s="687"/>
      <c r="Q361" s="687"/>
    </row>
    <row r="362" spans="7:17" ht="15.75" customHeight="1">
      <c r="G362" s="684"/>
      <c r="H362" s="685"/>
      <c r="I362" s="686"/>
      <c r="J362" s="687"/>
      <c r="K362" s="687"/>
      <c r="N362" s="685"/>
      <c r="O362" s="686"/>
      <c r="P362" s="687"/>
      <c r="Q362" s="687"/>
    </row>
    <row r="363" spans="7:17" ht="15.75" customHeight="1">
      <c r="G363" s="684"/>
      <c r="H363" s="685"/>
      <c r="I363" s="686"/>
      <c r="J363" s="687"/>
      <c r="K363" s="687"/>
      <c r="N363" s="685"/>
      <c r="O363" s="686"/>
      <c r="P363" s="687"/>
      <c r="Q363" s="687"/>
    </row>
    <row r="364" spans="7:17" ht="15.75" customHeight="1">
      <c r="G364" s="684"/>
      <c r="H364" s="685"/>
      <c r="I364" s="686"/>
      <c r="J364" s="687"/>
      <c r="K364" s="687"/>
      <c r="N364" s="685"/>
      <c r="O364" s="686"/>
      <c r="P364" s="687"/>
      <c r="Q364" s="687"/>
    </row>
    <row r="365" spans="7:17" ht="15.75" customHeight="1">
      <c r="G365" s="684"/>
      <c r="H365" s="685"/>
      <c r="I365" s="686"/>
      <c r="J365" s="687"/>
      <c r="K365" s="687"/>
      <c r="N365" s="685"/>
      <c r="O365" s="686"/>
      <c r="P365" s="687"/>
      <c r="Q365" s="687"/>
    </row>
    <row r="366" spans="7:17" ht="15.75" customHeight="1">
      <c r="G366" s="684"/>
      <c r="H366" s="685"/>
      <c r="I366" s="686"/>
      <c r="J366" s="687"/>
      <c r="K366" s="687"/>
      <c r="N366" s="685"/>
      <c r="O366" s="686"/>
      <c r="P366" s="687"/>
      <c r="Q366" s="687"/>
    </row>
    <row r="367" spans="7:17" ht="15.75" customHeight="1">
      <c r="G367" s="684"/>
      <c r="H367" s="685"/>
      <c r="I367" s="686"/>
      <c r="J367" s="687"/>
      <c r="K367" s="687"/>
      <c r="N367" s="685"/>
      <c r="O367" s="686"/>
      <c r="P367" s="687"/>
      <c r="Q367" s="687"/>
    </row>
    <row r="368" spans="7:17" ht="15.75" customHeight="1">
      <c r="G368" s="684"/>
      <c r="H368" s="685"/>
      <c r="I368" s="686"/>
      <c r="J368" s="687"/>
      <c r="K368" s="687"/>
      <c r="N368" s="685"/>
      <c r="O368" s="686"/>
      <c r="P368" s="687"/>
      <c r="Q368" s="687"/>
    </row>
    <row r="369" spans="7:17" ht="15.75" customHeight="1">
      <c r="G369" s="684"/>
      <c r="H369" s="685"/>
      <c r="I369" s="686"/>
      <c r="J369" s="687"/>
      <c r="K369" s="687"/>
      <c r="N369" s="685"/>
      <c r="O369" s="686"/>
      <c r="P369" s="687"/>
      <c r="Q369" s="687"/>
    </row>
    <row r="370" spans="7:17" ht="15.75" customHeight="1">
      <c r="G370" s="684"/>
      <c r="H370" s="685"/>
      <c r="I370" s="686"/>
      <c r="J370" s="687"/>
      <c r="K370" s="687"/>
      <c r="N370" s="685"/>
      <c r="O370" s="686"/>
      <c r="P370" s="687"/>
      <c r="Q370" s="687"/>
    </row>
    <row r="371" spans="7:17" ht="15.75" customHeight="1">
      <c r="G371" s="684"/>
      <c r="H371" s="685"/>
      <c r="I371" s="686"/>
      <c r="J371" s="687"/>
      <c r="K371" s="687"/>
      <c r="N371" s="685"/>
      <c r="O371" s="686"/>
      <c r="P371" s="687"/>
      <c r="Q371" s="687"/>
    </row>
    <row r="372" spans="7:17" ht="15.75" customHeight="1">
      <c r="G372" s="684"/>
      <c r="H372" s="685"/>
      <c r="I372" s="686"/>
      <c r="J372" s="687"/>
      <c r="K372" s="687"/>
      <c r="N372" s="685"/>
      <c r="O372" s="686"/>
      <c r="P372" s="687"/>
      <c r="Q372" s="687"/>
    </row>
    <row r="373" spans="7:17" ht="15.75" customHeight="1">
      <c r="G373" s="684"/>
      <c r="H373" s="685"/>
      <c r="I373" s="686"/>
      <c r="J373" s="687"/>
      <c r="K373" s="687"/>
      <c r="N373" s="685"/>
      <c r="O373" s="686"/>
      <c r="P373" s="687"/>
      <c r="Q373" s="687"/>
    </row>
    <row r="374" spans="7:17" ht="15.75" customHeight="1">
      <c r="G374" s="684"/>
      <c r="H374" s="685"/>
      <c r="I374" s="686"/>
      <c r="J374" s="687"/>
      <c r="K374" s="687"/>
      <c r="N374" s="685"/>
      <c r="O374" s="686"/>
      <c r="P374" s="687"/>
      <c r="Q374" s="687"/>
    </row>
    <row r="375" spans="7:17" ht="15.75" customHeight="1">
      <c r="G375" s="684"/>
      <c r="H375" s="685"/>
      <c r="I375" s="686"/>
      <c r="J375" s="687"/>
      <c r="K375" s="687"/>
      <c r="N375" s="685"/>
      <c r="O375" s="686"/>
      <c r="P375" s="687"/>
      <c r="Q375" s="687"/>
    </row>
    <row r="376" spans="7:17" ht="15.75" customHeight="1">
      <c r="G376" s="684"/>
      <c r="H376" s="685"/>
      <c r="I376" s="686"/>
      <c r="J376" s="687"/>
      <c r="K376" s="687"/>
      <c r="N376" s="685"/>
      <c r="O376" s="686"/>
      <c r="P376" s="687"/>
      <c r="Q376" s="687"/>
    </row>
    <row r="377" spans="7:17" ht="15.75" customHeight="1">
      <c r="G377" s="684"/>
      <c r="H377" s="685"/>
      <c r="I377" s="686"/>
      <c r="J377" s="687"/>
      <c r="K377" s="687"/>
      <c r="N377" s="685"/>
      <c r="O377" s="686"/>
      <c r="P377" s="687"/>
      <c r="Q377" s="687"/>
    </row>
    <row r="378" spans="7:17" ht="15.75" customHeight="1">
      <c r="G378" s="684"/>
      <c r="H378" s="685"/>
      <c r="I378" s="686"/>
      <c r="J378" s="687"/>
      <c r="K378" s="687"/>
      <c r="N378" s="685"/>
      <c r="O378" s="686"/>
      <c r="P378" s="687"/>
      <c r="Q378" s="687"/>
    </row>
    <row r="379" spans="7:17" ht="15.75" customHeight="1">
      <c r="G379" s="684"/>
      <c r="H379" s="685"/>
      <c r="I379" s="686"/>
      <c r="J379" s="687"/>
      <c r="K379" s="687"/>
      <c r="N379" s="685"/>
      <c r="O379" s="686"/>
      <c r="P379" s="687"/>
      <c r="Q379" s="687"/>
    </row>
    <row r="380" spans="7:17" ht="15.75" customHeight="1">
      <c r="G380" s="684"/>
      <c r="H380" s="685"/>
      <c r="I380" s="686"/>
      <c r="J380" s="687"/>
      <c r="K380" s="687"/>
      <c r="N380" s="685"/>
      <c r="O380" s="686"/>
      <c r="P380" s="687"/>
      <c r="Q380" s="687"/>
    </row>
    <row r="381" spans="7:17" ht="15.75" customHeight="1">
      <c r="G381" s="684"/>
      <c r="H381" s="685"/>
      <c r="I381" s="686"/>
      <c r="J381" s="687"/>
      <c r="K381" s="687"/>
      <c r="N381" s="685"/>
      <c r="O381" s="686"/>
      <c r="P381" s="687"/>
      <c r="Q381" s="687"/>
    </row>
    <row r="382" spans="7:17" ht="15.75" customHeight="1">
      <c r="G382" s="684"/>
      <c r="H382" s="685"/>
      <c r="I382" s="686"/>
      <c r="J382" s="687"/>
      <c r="K382" s="687"/>
      <c r="N382" s="685"/>
      <c r="O382" s="686"/>
      <c r="P382" s="687"/>
      <c r="Q382" s="687"/>
    </row>
    <row r="383" spans="7:17" ht="15.75" customHeight="1">
      <c r="G383" s="684"/>
      <c r="H383" s="685"/>
      <c r="I383" s="686"/>
      <c r="J383" s="687"/>
      <c r="K383" s="687"/>
      <c r="N383" s="685"/>
      <c r="O383" s="686"/>
      <c r="P383" s="687"/>
      <c r="Q383" s="687"/>
    </row>
    <row r="384" spans="7:17" ht="15.75" customHeight="1">
      <c r="G384" s="684"/>
      <c r="H384" s="685"/>
      <c r="I384" s="686"/>
      <c r="J384" s="687"/>
      <c r="K384" s="687"/>
      <c r="N384" s="685"/>
      <c r="O384" s="686"/>
      <c r="P384" s="687"/>
      <c r="Q384" s="687"/>
    </row>
    <row r="385" spans="7:17" ht="15.75" customHeight="1">
      <c r="G385" s="684"/>
      <c r="H385" s="685"/>
      <c r="I385" s="686"/>
      <c r="J385" s="687"/>
      <c r="K385" s="687"/>
      <c r="N385" s="685"/>
      <c r="O385" s="686"/>
      <c r="P385" s="687"/>
      <c r="Q385" s="687"/>
    </row>
    <row r="386" spans="7:17" ht="15.75" customHeight="1">
      <c r="G386" s="684"/>
      <c r="H386" s="685"/>
      <c r="I386" s="686"/>
      <c r="J386" s="687"/>
      <c r="K386" s="687"/>
      <c r="N386" s="685"/>
      <c r="O386" s="686"/>
      <c r="P386" s="687"/>
      <c r="Q386" s="687"/>
    </row>
    <row r="387" spans="7:17" ht="15.75" customHeight="1">
      <c r="G387" s="684"/>
      <c r="H387" s="685"/>
      <c r="I387" s="686"/>
      <c r="J387" s="687"/>
      <c r="K387" s="687"/>
      <c r="N387" s="685"/>
      <c r="O387" s="686"/>
      <c r="P387" s="687"/>
      <c r="Q387" s="687"/>
    </row>
    <row r="388" spans="7:17" ht="15.75" customHeight="1">
      <c r="G388" s="684"/>
      <c r="H388" s="685"/>
      <c r="I388" s="686"/>
      <c r="J388" s="687"/>
      <c r="K388" s="687"/>
      <c r="N388" s="685"/>
      <c r="O388" s="686"/>
      <c r="P388" s="687"/>
      <c r="Q388" s="687"/>
    </row>
    <row r="389" spans="7:17" ht="15.75" customHeight="1">
      <c r="G389" s="684"/>
      <c r="H389" s="685"/>
      <c r="I389" s="686"/>
      <c r="J389" s="687"/>
      <c r="K389" s="687"/>
      <c r="N389" s="685"/>
      <c r="O389" s="686"/>
      <c r="P389" s="687"/>
      <c r="Q389" s="687"/>
    </row>
    <row r="390" spans="7:17" ht="15.75" customHeight="1">
      <c r="G390" s="684"/>
      <c r="H390" s="685"/>
      <c r="I390" s="686"/>
      <c r="J390" s="687"/>
      <c r="K390" s="687"/>
      <c r="N390" s="685"/>
      <c r="O390" s="686"/>
      <c r="P390" s="687"/>
      <c r="Q390" s="687"/>
    </row>
    <row r="391" spans="7:17" ht="15.75" customHeight="1">
      <c r="G391" s="684"/>
      <c r="H391" s="685"/>
      <c r="I391" s="686"/>
      <c r="J391" s="687"/>
      <c r="K391" s="687"/>
      <c r="N391" s="685"/>
      <c r="O391" s="686"/>
      <c r="P391" s="687"/>
      <c r="Q391" s="687"/>
    </row>
    <row r="392" spans="7:17" ht="15.75" customHeight="1">
      <c r="G392" s="684"/>
      <c r="H392" s="685"/>
      <c r="I392" s="686"/>
      <c r="J392" s="687"/>
      <c r="K392" s="687"/>
      <c r="N392" s="685"/>
      <c r="O392" s="686"/>
      <c r="P392" s="687"/>
      <c r="Q392" s="687"/>
    </row>
    <row r="393" spans="7:17" ht="15.75" customHeight="1">
      <c r="G393" s="684"/>
      <c r="H393" s="685"/>
      <c r="I393" s="686"/>
      <c r="J393" s="687"/>
      <c r="K393" s="687"/>
      <c r="N393" s="685"/>
      <c r="O393" s="686"/>
      <c r="P393" s="687"/>
      <c r="Q393" s="687"/>
    </row>
    <row r="394" spans="7:17" ht="15.75" customHeight="1">
      <c r="G394" s="684"/>
      <c r="H394" s="685"/>
      <c r="I394" s="686"/>
      <c r="J394" s="687"/>
      <c r="K394" s="687"/>
      <c r="N394" s="685"/>
      <c r="O394" s="686"/>
      <c r="P394" s="687"/>
      <c r="Q394" s="687"/>
    </row>
    <row r="395" spans="7:17" ht="15.75" customHeight="1">
      <c r="G395" s="684"/>
      <c r="H395" s="685"/>
      <c r="I395" s="686"/>
      <c r="J395" s="687"/>
      <c r="K395" s="687"/>
      <c r="N395" s="685"/>
      <c r="O395" s="686"/>
      <c r="P395" s="687"/>
      <c r="Q395" s="687"/>
    </row>
    <row r="396" spans="7:17" ht="15.75" customHeight="1">
      <c r="G396" s="684"/>
      <c r="H396" s="685"/>
      <c r="I396" s="686"/>
      <c r="J396" s="687"/>
      <c r="K396" s="687"/>
      <c r="N396" s="685"/>
      <c r="O396" s="686"/>
      <c r="P396" s="687"/>
      <c r="Q396" s="687"/>
    </row>
    <row r="397" spans="7:17" ht="15.75" customHeight="1">
      <c r="G397" s="684"/>
      <c r="H397" s="685"/>
      <c r="I397" s="686"/>
      <c r="J397" s="687"/>
      <c r="K397" s="687"/>
      <c r="N397" s="685"/>
      <c r="O397" s="686"/>
      <c r="P397" s="687"/>
      <c r="Q397" s="687"/>
    </row>
    <row r="398" spans="7:17" ht="15.75" customHeight="1">
      <c r="G398" s="684"/>
      <c r="H398" s="685"/>
      <c r="I398" s="686"/>
      <c r="J398" s="687"/>
      <c r="K398" s="687"/>
      <c r="N398" s="685"/>
      <c r="O398" s="686"/>
      <c r="P398" s="687"/>
      <c r="Q398" s="687"/>
    </row>
    <row r="399" spans="7:17" ht="15.75" customHeight="1">
      <c r="G399" s="684"/>
      <c r="H399" s="685"/>
      <c r="I399" s="686"/>
      <c r="J399" s="687"/>
      <c r="K399" s="687"/>
      <c r="N399" s="685"/>
      <c r="O399" s="686"/>
      <c r="P399" s="687"/>
      <c r="Q399" s="687"/>
    </row>
    <row r="400" spans="7:17" ht="15.75" customHeight="1">
      <c r="G400" s="684"/>
      <c r="H400" s="685"/>
      <c r="I400" s="686"/>
      <c r="J400" s="687"/>
      <c r="K400" s="687"/>
      <c r="N400" s="685"/>
      <c r="O400" s="686"/>
      <c r="P400" s="687"/>
      <c r="Q400" s="687"/>
    </row>
    <row r="401" spans="7:17" ht="15.75" customHeight="1">
      <c r="G401" s="684"/>
      <c r="H401" s="685"/>
      <c r="I401" s="686"/>
      <c r="J401" s="687"/>
      <c r="K401" s="687"/>
      <c r="N401" s="685"/>
      <c r="O401" s="686"/>
      <c r="P401" s="687"/>
      <c r="Q401" s="687"/>
    </row>
    <row r="402" spans="7:17" ht="15.75" customHeight="1">
      <c r="G402" s="684"/>
      <c r="H402" s="685"/>
      <c r="I402" s="686"/>
      <c r="J402" s="687"/>
      <c r="K402" s="687"/>
      <c r="N402" s="685"/>
      <c r="O402" s="686"/>
      <c r="P402" s="687"/>
      <c r="Q402" s="687"/>
    </row>
    <row r="403" spans="7:17" ht="15.75" customHeight="1">
      <c r="G403" s="684"/>
      <c r="H403" s="685"/>
      <c r="I403" s="686"/>
      <c r="J403" s="687"/>
      <c r="K403" s="687"/>
      <c r="N403" s="685"/>
      <c r="O403" s="686"/>
      <c r="P403" s="687"/>
      <c r="Q403" s="687"/>
    </row>
    <row r="404" spans="7:17" ht="15.75" customHeight="1">
      <c r="G404" s="684"/>
      <c r="H404" s="685"/>
      <c r="I404" s="686"/>
      <c r="J404" s="687"/>
      <c r="K404" s="687"/>
      <c r="N404" s="685"/>
      <c r="O404" s="686"/>
      <c r="P404" s="687"/>
      <c r="Q404" s="687"/>
    </row>
    <row r="405" spans="7:17" ht="15.75" customHeight="1">
      <c r="G405" s="684"/>
      <c r="H405" s="685"/>
      <c r="I405" s="686"/>
      <c r="J405" s="687"/>
      <c r="K405" s="687"/>
      <c r="N405" s="685"/>
      <c r="O405" s="686"/>
      <c r="P405" s="687"/>
      <c r="Q405" s="687"/>
    </row>
    <row r="406" spans="7:17" ht="15.75" customHeight="1">
      <c r="G406" s="684"/>
      <c r="H406" s="685"/>
      <c r="I406" s="686"/>
      <c r="J406" s="687"/>
      <c r="K406" s="687"/>
      <c r="N406" s="685"/>
      <c r="O406" s="686"/>
      <c r="P406" s="687"/>
      <c r="Q406" s="687"/>
    </row>
    <row r="407" spans="7:17" ht="15.75" customHeight="1">
      <c r="G407" s="684"/>
      <c r="H407" s="685"/>
      <c r="I407" s="686"/>
      <c r="J407" s="687"/>
      <c r="K407" s="687"/>
      <c r="N407" s="685"/>
      <c r="O407" s="686"/>
      <c r="P407" s="687"/>
      <c r="Q407" s="687"/>
    </row>
    <row r="408" spans="7:17" ht="15.75" customHeight="1">
      <c r="G408" s="684"/>
      <c r="H408" s="685"/>
      <c r="I408" s="686"/>
      <c r="J408" s="687"/>
      <c r="K408" s="687"/>
      <c r="N408" s="685"/>
      <c r="O408" s="686"/>
      <c r="P408" s="687"/>
      <c r="Q408" s="687"/>
    </row>
    <row r="409" spans="7:17" ht="15.75" customHeight="1">
      <c r="G409" s="684"/>
      <c r="H409" s="685"/>
      <c r="I409" s="686"/>
      <c r="J409" s="687"/>
      <c r="K409" s="687"/>
      <c r="N409" s="685"/>
      <c r="O409" s="686"/>
      <c r="P409" s="687"/>
      <c r="Q409" s="687"/>
    </row>
    <row r="410" spans="7:17" ht="15.75" customHeight="1">
      <c r="G410" s="684"/>
      <c r="H410" s="685"/>
      <c r="I410" s="686"/>
      <c r="J410" s="687"/>
      <c r="K410" s="687"/>
      <c r="N410" s="685"/>
      <c r="O410" s="686"/>
      <c r="P410" s="687"/>
      <c r="Q410" s="687"/>
    </row>
    <row r="411" spans="7:17" ht="15.75" customHeight="1">
      <c r="G411" s="684"/>
      <c r="H411" s="685"/>
      <c r="I411" s="686"/>
      <c r="J411" s="687"/>
      <c r="K411" s="687"/>
      <c r="N411" s="685"/>
      <c r="O411" s="686"/>
      <c r="P411" s="687"/>
      <c r="Q411" s="687"/>
    </row>
    <row r="412" spans="7:17" ht="15.75" customHeight="1">
      <c r="G412" s="684"/>
      <c r="H412" s="685"/>
      <c r="I412" s="686"/>
      <c r="J412" s="687"/>
      <c r="K412" s="687"/>
      <c r="N412" s="685"/>
      <c r="O412" s="686"/>
      <c r="P412" s="687"/>
      <c r="Q412" s="687"/>
    </row>
    <row r="413" spans="7:17" ht="15.75" customHeight="1">
      <c r="G413" s="684"/>
      <c r="H413" s="685"/>
      <c r="I413" s="686"/>
      <c r="J413" s="687"/>
      <c r="K413" s="687"/>
      <c r="N413" s="685"/>
      <c r="O413" s="686"/>
      <c r="P413" s="687"/>
      <c r="Q413" s="687"/>
    </row>
    <row r="414" spans="7:17" ht="15.75" customHeight="1">
      <c r="G414" s="684"/>
      <c r="H414" s="685"/>
      <c r="I414" s="686"/>
      <c r="J414" s="687"/>
      <c r="K414" s="687"/>
      <c r="N414" s="685"/>
      <c r="O414" s="686"/>
      <c r="P414" s="687"/>
      <c r="Q414" s="687"/>
    </row>
    <row r="415" spans="7:17" ht="15.75" customHeight="1">
      <c r="G415" s="684"/>
      <c r="H415" s="685"/>
      <c r="I415" s="686"/>
      <c r="J415" s="687"/>
      <c r="K415" s="687"/>
      <c r="N415" s="685"/>
      <c r="O415" s="686"/>
      <c r="P415" s="687"/>
      <c r="Q415" s="687"/>
    </row>
    <row r="416" spans="7:17" ht="15.75" customHeight="1">
      <c r="G416" s="684"/>
      <c r="H416" s="685"/>
      <c r="I416" s="686"/>
      <c r="J416" s="687"/>
      <c r="K416" s="687"/>
      <c r="N416" s="685"/>
      <c r="O416" s="686"/>
      <c r="P416" s="687"/>
      <c r="Q416" s="687"/>
    </row>
    <row r="417" spans="7:17" ht="15.75" customHeight="1">
      <c r="G417" s="684"/>
      <c r="H417" s="685"/>
      <c r="I417" s="686"/>
      <c r="J417" s="687"/>
      <c r="K417" s="687"/>
      <c r="N417" s="685"/>
      <c r="O417" s="686"/>
      <c r="P417" s="687"/>
      <c r="Q417" s="687"/>
    </row>
    <row r="418" spans="7:17" ht="15.75" customHeight="1">
      <c r="G418" s="684"/>
      <c r="H418" s="685"/>
      <c r="I418" s="686"/>
      <c r="J418" s="687"/>
      <c r="K418" s="687"/>
      <c r="N418" s="685"/>
      <c r="O418" s="686"/>
      <c r="P418" s="687"/>
      <c r="Q418" s="687"/>
    </row>
    <row r="419" spans="7:17" ht="15.75" customHeight="1">
      <c r="G419" s="684"/>
      <c r="H419" s="685"/>
      <c r="I419" s="686"/>
      <c r="J419" s="687"/>
      <c r="K419" s="687"/>
      <c r="N419" s="685"/>
      <c r="O419" s="686"/>
      <c r="P419" s="687"/>
      <c r="Q419" s="687"/>
    </row>
    <row r="420" spans="7:17" ht="15.75" customHeight="1">
      <c r="G420" s="684"/>
      <c r="H420" s="685"/>
      <c r="I420" s="686"/>
      <c r="J420" s="687"/>
      <c r="K420" s="687"/>
      <c r="N420" s="685"/>
      <c r="O420" s="686"/>
      <c r="P420" s="687"/>
      <c r="Q420" s="687"/>
    </row>
    <row r="421" spans="7:17" ht="15.75" customHeight="1">
      <c r="G421" s="684"/>
      <c r="H421" s="685"/>
      <c r="I421" s="686"/>
      <c r="J421" s="687"/>
      <c r="K421" s="687"/>
      <c r="N421" s="685"/>
      <c r="O421" s="686"/>
      <c r="P421" s="687"/>
      <c r="Q421" s="687"/>
    </row>
    <row r="422" spans="7:17" ht="15.75" customHeight="1">
      <c r="G422" s="684"/>
      <c r="H422" s="685"/>
      <c r="I422" s="686"/>
      <c r="J422" s="687"/>
      <c r="K422" s="687"/>
      <c r="N422" s="685"/>
      <c r="O422" s="686"/>
      <c r="P422" s="687"/>
      <c r="Q422" s="687"/>
    </row>
    <row r="423" spans="7:17" ht="15.75" customHeight="1">
      <c r="G423" s="684"/>
      <c r="H423" s="685"/>
      <c r="I423" s="686"/>
      <c r="J423" s="687"/>
      <c r="K423" s="687"/>
      <c r="N423" s="685"/>
      <c r="O423" s="686"/>
      <c r="P423" s="687"/>
      <c r="Q423" s="687"/>
    </row>
    <row r="424" spans="7:17" ht="15.75" customHeight="1">
      <c r="G424" s="684"/>
      <c r="H424" s="685"/>
      <c r="I424" s="686"/>
      <c r="J424" s="687"/>
      <c r="K424" s="687"/>
      <c r="N424" s="685"/>
      <c r="O424" s="686"/>
      <c r="P424" s="687"/>
      <c r="Q424" s="687"/>
    </row>
    <row r="425" spans="7:17" ht="15.75" customHeight="1">
      <c r="G425" s="684"/>
      <c r="H425" s="685"/>
      <c r="I425" s="686"/>
      <c r="J425" s="687"/>
      <c r="K425" s="687"/>
      <c r="N425" s="685"/>
      <c r="O425" s="686"/>
      <c r="P425" s="687"/>
      <c r="Q425" s="687"/>
    </row>
    <row r="426" spans="7:17" ht="15.75" customHeight="1">
      <c r="G426" s="684"/>
      <c r="H426" s="685"/>
      <c r="I426" s="686"/>
      <c r="J426" s="687"/>
      <c r="K426" s="687"/>
      <c r="N426" s="685"/>
      <c r="O426" s="686"/>
      <c r="P426" s="687"/>
      <c r="Q426" s="687"/>
    </row>
    <row r="427" spans="7:17" ht="15.75" customHeight="1">
      <c r="G427" s="684"/>
      <c r="H427" s="685"/>
      <c r="I427" s="686"/>
      <c r="J427" s="687"/>
      <c r="K427" s="687"/>
      <c r="N427" s="685"/>
      <c r="O427" s="686"/>
      <c r="P427" s="687"/>
      <c r="Q427" s="687"/>
    </row>
    <row r="428" spans="7:17" ht="15.75" customHeight="1">
      <c r="G428" s="684"/>
      <c r="H428" s="685"/>
      <c r="I428" s="686"/>
      <c r="J428" s="687"/>
      <c r="K428" s="687"/>
      <c r="N428" s="685"/>
      <c r="O428" s="686"/>
      <c r="P428" s="687"/>
      <c r="Q428" s="687"/>
    </row>
    <row r="429" spans="7:17" ht="15.75" customHeight="1">
      <c r="G429" s="684"/>
      <c r="H429" s="685"/>
      <c r="I429" s="686"/>
      <c r="J429" s="687"/>
      <c r="K429" s="687"/>
      <c r="N429" s="685"/>
      <c r="O429" s="686"/>
      <c r="P429" s="687"/>
      <c r="Q429" s="687"/>
    </row>
    <row r="430" spans="7:17" ht="15.75" customHeight="1">
      <c r="G430" s="684"/>
      <c r="H430" s="685"/>
      <c r="I430" s="686"/>
      <c r="J430" s="687"/>
      <c r="K430" s="687"/>
      <c r="N430" s="685"/>
      <c r="O430" s="686"/>
      <c r="P430" s="687"/>
      <c r="Q430" s="687"/>
    </row>
    <row r="431" spans="7:17" ht="15.75" customHeight="1">
      <c r="G431" s="684"/>
      <c r="H431" s="685"/>
      <c r="I431" s="686"/>
      <c r="J431" s="687"/>
      <c r="K431" s="687"/>
      <c r="N431" s="685"/>
      <c r="O431" s="686"/>
      <c r="P431" s="687"/>
      <c r="Q431" s="687"/>
    </row>
    <row r="432" spans="7:17" ht="15.75" customHeight="1">
      <c r="G432" s="684"/>
      <c r="H432" s="685"/>
      <c r="I432" s="686"/>
      <c r="J432" s="687"/>
      <c r="K432" s="687"/>
      <c r="N432" s="685"/>
      <c r="O432" s="686"/>
      <c r="P432" s="687"/>
      <c r="Q432" s="687"/>
    </row>
    <row r="433" spans="7:17" ht="15.75" customHeight="1">
      <c r="G433" s="684"/>
      <c r="H433" s="685"/>
      <c r="I433" s="686"/>
      <c r="J433" s="687"/>
      <c r="K433" s="687"/>
      <c r="N433" s="685"/>
      <c r="O433" s="686"/>
      <c r="P433" s="687"/>
      <c r="Q433" s="687"/>
    </row>
    <row r="434" spans="7:17" ht="15.75" customHeight="1">
      <c r="G434" s="684"/>
      <c r="H434" s="685"/>
      <c r="I434" s="686"/>
      <c r="J434" s="687"/>
      <c r="K434" s="687"/>
      <c r="N434" s="685"/>
      <c r="O434" s="686"/>
      <c r="P434" s="687"/>
      <c r="Q434" s="687"/>
    </row>
    <row r="435" spans="7:17" ht="15.75" customHeight="1">
      <c r="G435" s="684"/>
      <c r="H435" s="685"/>
      <c r="I435" s="686"/>
      <c r="J435" s="687"/>
      <c r="K435" s="687"/>
      <c r="N435" s="685"/>
      <c r="O435" s="686"/>
      <c r="P435" s="687"/>
      <c r="Q435" s="687"/>
    </row>
    <row r="436" spans="7:17" ht="15.75" customHeight="1">
      <c r="G436" s="684"/>
      <c r="H436" s="685"/>
      <c r="I436" s="686"/>
      <c r="J436" s="687"/>
      <c r="K436" s="687"/>
      <c r="N436" s="685"/>
      <c r="O436" s="686"/>
      <c r="P436" s="687"/>
      <c r="Q436" s="687"/>
    </row>
    <row r="437" spans="7:17" ht="15.75" customHeight="1">
      <c r="G437" s="684"/>
      <c r="H437" s="685"/>
      <c r="I437" s="686"/>
      <c r="J437" s="687"/>
      <c r="K437" s="687"/>
      <c r="N437" s="685"/>
      <c r="O437" s="686"/>
      <c r="P437" s="687"/>
      <c r="Q437" s="687"/>
    </row>
    <row r="438" spans="7:17" ht="15.75" customHeight="1">
      <c r="G438" s="684"/>
      <c r="H438" s="685"/>
      <c r="I438" s="686"/>
      <c r="J438" s="687"/>
      <c r="K438" s="687"/>
      <c r="N438" s="685"/>
      <c r="O438" s="686"/>
      <c r="P438" s="687"/>
      <c r="Q438" s="687"/>
    </row>
    <row r="439" spans="7:17" ht="15.75" customHeight="1">
      <c r="G439" s="684"/>
      <c r="H439" s="685"/>
      <c r="I439" s="686"/>
      <c r="J439" s="687"/>
      <c r="K439" s="687"/>
      <c r="N439" s="685"/>
      <c r="O439" s="686"/>
      <c r="P439" s="687"/>
      <c r="Q439" s="687"/>
    </row>
    <row r="440" spans="7:17" ht="15.75" customHeight="1">
      <c r="G440" s="684"/>
      <c r="H440" s="685"/>
      <c r="I440" s="686"/>
      <c r="J440" s="687"/>
      <c r="K440" s="687"/>
      <c r="N440" s="685"/>
      <c r="O440" s="686"/>
      <c r="P440" s="687"/>
      <c r="Q440" s="687"/>
    </row>
    <row r="441" spans="7:17" ht="15.75" customHeight="1">
      <c r="G441" s="684"/>
      <c r="H441" s="685"/>
      <c r="I441" s="686"/>
      <c r="J441" s="687"/>
      <c r="K441" s="687"/>
      <c r="N441" s="685"/>
      <c r="O441" s="686"/>
      <c r="P441" s="687"/>
      <c r="Q441" s="687"/>
    </row>
    <row r="442" spans="7:17" ht="15.75" customHeight="1">
      <c r="G442" s="684"/>
      <c r="H442" s="685"/>
      <c r="I442" s="686"/>
      <c r="J442" s="687"/>
      <c r="K442" s="687"/>
      <c r="N442" s="685"/>
      <c r="O442" s="686"/>
      <c r="P442" s="687"/>
      <c r="Q442" s="687"/>
    </row>
    <row r="443" spans="7:17" ht="15.75" customHeight="1">
      <c r="G443" s="684"/>
      <c r="H443" s="685"/>
      <c r="I443" s="686"/>
      <c r="J443" s="687"/>
      <c r="K443" s="687"/>
      <c r="N443" s="685"/>
      <c r="O443" s="686"/>
      <c r="P443" s="687"/>
      <c r="Q443" s="687"/>
    </row>
    <row r="444" spans="7:17" ht="15.75" customHeight="1">
      <c r="G444" s="684"/>
      <c r="H444" s="685"/>
      <c r="I444" s="686"/>
      <c r="J444" s="687"/>
      <c r="K444" s="687"/>
      <c r="N444" s="685"/>
      <c r="O444" s="686"/>
      <c r="P444" s="687"/>
      <c r="Q444" s="687"/>
    </row>
    <row r="445" spans="7:17" ht="15.75" customHeight="1">
      <c r="G445" s="684"/>
      <c r="H445" s="685"/>
      <c r="I445" s="686"/>
      <c r="J445" s="687"/>
      <c r="K445" s="687"/>
      <c r="N445" s="685"/>
      <c r="O445" s="686"/>
      <c r="P445" s="687"/>
      <c r="Q445" s="687"/>
    </row>
    <row r="446" spans="7:17" ht="15.75" customHeight="1">
      <c r="G446" s="684"/>
      <c r="H446" s="685"/>
      <c r="I446" s="686"/>
      <c r="J446" s="687"/>
      <c r="K446" s="687"/>
      <c r="N446" s="685"/>
      <c r="O446" s="686"/>
      <c r="P446" s="687"/>
      <c r="Q446" s="687"/>
    </row>
    <row r="447" spans="7:17" ht="15.75" customHeight="1">
      <c r="G447" s="684"/>
      <c r="H447" s="685"/>
      <c r="I447" s="686"/>
      <c r="J447" s="687"/>
      <c r="K447" s="687"/>
      <c r="N447" s="685"/>
      <c r="O447" s="686"/>
      <c r="P447" s="687"/>
      <c r="Q447" s="687"/>
    </row>
    <row r="448" spans="7:17" ht="15.75" customHeight="1">
      <c r="G448" s="684"/>
      <c r="H448" s="685"/>
      <c r="I448" s="686"/>
      <c r="J448" s="687"/>
      <c r="K448" s="687"/>
      <c r="N448" s="685"/>
      <c r="O448" s="686"/>
      <c r="P448" s="687"/>
      <c r="Q448" s="687"/>
    </row>
    <row r="449" spans="7:17" ht="15.75" customHeight="1">
      <c r="G449" s="684"/>
      <c r="H449" s="685"/>
      <c r="I449" s="686"/>
      <c r="J449" s="687"/>
      <c r="K449" s="687"/>
      <c r="N449" s="685"/>
      <c r="O449" s="686"/>
      <c r="P449" s="687"/>
      <c r="Q449" s="687"/>
    </row>
    <row r="450" spans="7:17" ht="15.75" customHeight="1">
      <c r="G450" s="684"/>
      <c r="H450" s="685"/>
      <c r="I450" s="686"/>
      <c r="J450" s="687"/>
      <c r="K450" s="687"/>
      <c r="N450" s="685"/>
      <c r="O450" s="686"/>
      <c r="P450" s="687"/>
      <c r="Q450" s="687"/>
    </row>
    <row r="451" spans="7:17" ht="15.75" customHeight="1">
      <c r="G451" s="684"/>
      <c r="H451" s="685"/>
      <c r="I451" s="686"/>
      <c r="J451" s="687"/>
      <c r="K451" s="687"/>
      <c r="N451" s="685"/>
      <c r="O451" s="686"/>
      <c r="P451" s="687"/>
      <c r="Q451" s="687"/>
    </row>
    <row r="452" spans="7:17" ht="15.75" customHeight="1">
      <c r="G452" s="684"/>
      <c r="H452" s="685"/>
      <c r="I452" s="686"/>
      <c r="J452" s="687"/>
      <c r="K452" s="687"/>
      <c r="N452" s="685"/>
      <c r="O452" s="686"/>
      <c r="P452" s="687"/>
      <c r="Q452" s="687"/>
    </row>
    <row r="453" spans="7:17" ht="15.75" customHeight="1">
      <c r="G453" s="684"/>
      <c r="H453" s="685"/>
      <c r="I453" s="686"/>
      <c r="J453" s="687"/>
      <c r="K453" s="687"/>
      <c r="N453" s="685"/>
      <c r="O453" s="686"/>
      <c r="P453" s="687"/>
      <c r="Q453" s="687"/>
    </row>
    <row r="454" spans="7:17" ht="15.75" customHeight="1">
      <c r="G454" s="684"/>
      <c r="H454" s="685"/>
      <c r="I454" s="686"/>
      <c r="J454" s="687"/>
      <c r="K454" s="687"/>
      <c r="N454" s="685"/>
      <c r="O454" s="686"/>
      <c r="P454" s="687"/>
      <c r="Q454" s="687"/>
    </row>
    <row r="455" spans="7:17" ht="15.75" customHeight="1">
      <c r="G455" s="684"/>
      <c r="H455" s="685"/>
      <c r="I455" s="686"/>
      <c r="J455" s="687"/>
      <c r="K455" s="687"/>
      <c r="N455" s="685"/>
      <c r="O455" s="686"/>
      <c r="P455" s="687"/>
      <c r="Q455" s="687"/>
    </row>
    <row r="456" spans="7:17" ht="15.75" customHeight="1">
      <c r="G456" s="684"/>
      <c r="H456" s="685"/>
      <c r="I456" s="686"/>
      <c r="J456" s="687"/>
      <c r="K456" s="687"/>
      <c r="N456" s="685"/>
      <c r="O456" s="686"/>
      <c r="P456" s="687"/>
      <c r="Q456" s="687"/>
    </row>
    <row r="457" spans="7:17" ht="15.75" customHeight="1">
      <c r="G457" s="684"/>
      <c r="H457" s="685"/>
      <c r="I457" s="686"/>
      <c r="J457" s="687"/>
      <c r="K457" s="687"/>
      <c r="N457" s="685"/>
      <c r="O457" s="686"/>
      <c r="P457" s="687"/>
      <c r="Q457" s="687"/>
    </row>
    <row r="458" spans="7:17" ht="15.75" customHeight="1">
      <c r="G458" s="684"/>
      <c r="H458" s="685"/>
      <c r="I458" s="686"/>
      <c r="J458" s="687"/>
      <c r="K458" s="687"/>
      <c r="N458" s="685"/>
      <c r="O458" s="686"/>
      <c r="P458" s="687"/>
      <c r="Q458" s="687"/>
    </row>
    <row r="459" spans="7:17" ht="15.75" customHeight="1">
      <c r="G459" s="684"/>
      <c r="H459" s="685"/>
      <c r="I459" s="686"/>
      <c r="J459" s="687"/>
      <c r="K459" s="687"/>
      <c r="N459" s="685"/>
      <c r="O459" s="686"/>
      <c r="P459" s="687"/>
      <c r="Q459" s="687"/>
    </row>
    <row r="460" spans="7:17" ht="15.75" customHeight="1">
      <c r="G460" s="684"/>
      <c r="H460" s="685"/>
      <c r="I460" s="686"/>
      <c r="J460" s="687"/>
      <c r="K460" s="687"/>
      <c r="N460" s="685"/>
      <c r="O460" s="686"/>
      <c r="P460" s="687"/>
      <c r="Q460" s="687"/>
    </row>
    <row r="461" spans="7:17" ht="15.75" customHeight="1">
      <c r="G461" s="684"/>
      <c r="H461" s="685"/>
      <c r="I461" s="686"/>
      <c r="J461" s="687"/>
      <c r="K461" s="687"/>
      <c r="N461" s="685"/>
      <c r="O461" s="686"/>
      <c r="P461" s="687"/>
      <c r="Q461" s="687"/>
    </row>
    <row r="462" spans="7:17" ht="15.75" customHeight="1">
      <c r="G462" s="684"/>
      <c r="H462" s="685"/>
      <c r="I462" s="686"/>
      <c r="J462" s="687"/>
      <c r="K462" s="687"/>
      <c r="N462" s="685"/>
      <c r="O462" s="686"/>
      <c r="P462" s="687"/>
      <c r="Q462" s="687"/>
    </row>
    <row r="463" spans="7:17" ht="15.75" customHeight="1">
      <c r="G463" s="684"/>
      <c r="H463" s="685"/>
      <c r="I463" s="686"/>
      <c r="J463" s="687"/>
      <c r="K463" s="687"/>
      <c r="N463" s="685"/>
      <c r="O463" s="686"/>
      <c r="P463" s="687"/>
      <c r="Q463" s="687"/>
    </row>
    <row r="464" spans="7:17" ht="15.75" customHeight="1">
      <c r="G464" s="684"/>
      <c r="H464" s="685"/>
      <c r="I464" s="686"/>
      <c r="J464" s="687"/>
      <c r="K464" s="687"/>
      <c r="N464" s="685"/>
      <c r="O464" s="686"/>
      <c r="P464" s="687"/>
      <c r="Q464" s="687"/>
    </row>
    <row r="465" spans="7:17" ht="15.75" customHeight="1">
      <c r="G465" s="684"/>
      <c r="H465" s="685"/>
      <c r="I465" s="686"/>
      <c r="J465" s="687"/>
      <c r="K465" s="687"/>
      <c r="N465" s="685"/>
      <c r="O465" s="686"/>
      <c r="P465" s="687"/>
      <c r="Q465" s="687"/>
    </row>
    <row r="466" spans="7:17" ht="15.75" customHeight="1">
      <c r="G466" s="684"/>
      <c r="H466" s="685"/>
      <c r="I466" s="686"/>
      <c r="J466" s="687"/>
      <c r="K466" s="687"/>
      <c r="N466" s="685"/>
      <c r="O466" s="686"/>
      <c r="P466" s="687"/>
      <c r="Q466" s="687"/>
    </row>
    <row r="467" spans="7:17" ht="15.75" customHeight="1">
      <c r="G467" s="684"/>
      <c r="H467" s="685"/>
      <c r="I467" s="686"/>
      <c r="J467" s="687"/>
      <c r="K467" s="687"/>
      <c r="N467" s="685"/>
      <c r="O467" s="686"/>
      <c r="P467" s="687"/>
      <c r="Q467" s="687"/>
    </row>
    <row r="468" spans="7:17" ht="15.75" customHeight="1">
      <c r="G468" s="684"/>
      <c r="H468" s="685"/>
      <c r="I468" s="686"/>
      <c r="J468" s="687"/>
      <c r="K468" s="687"/>
      <c r="N468" s="685"/>
      <c r="O468" s="686"/>
      <c r="P468" s="687"/>
      <c r="Q468" s="687"/>
    </row>
    <row r="469" spans="7:17" ht="15.75" customHeight="1">
      <c r="G469" s="684"/>
      <c r="H469" s="685"/>
      <c r="I469" s="686"/>
      <c r="J469" s="687"/>
      <c r="K469" s="687"/>
      <c r="N469" s="685"/>
      <c r="O469" s="686"/>
      <c r="P469" s="687"/>
      <c r="Q469" s="687"/>
    </row>
    <row r="470" spans="7:17" ht="15.75" customHeight="1">
      <c r="G470" s="684"/>
      <c r="H470" s="685"/>
      <c r="I470" s="686"/>
      <c r="J470" s="687"/>
      <c r="K470" s="687"/>
      <c r="N470" s="685"/>
      <c r="O470" s="686"/>
      <c r="P470" s="687"/>
      <c r="Q470" s="687"/>
    </row>
    <row r="471" spans="7:17" ht="15.75" customHeight="1">
      <c r="G471" s="684"/>
      <c r="H471" s="685"/>
      <c r="I471" s="686"/>
      <c r="J471" s="687"/>
      <c r="K471" s="687"/>
      <c r="N471" s="685"/>
      <c r="O471" s="686"/>
      <c r="P471" s="687"/>
      <c r="Q471" s="687"/>
    </row>
    <row r="472" spans="7:17" ht="15.75" customHeight="1">
      <c r="G472" s="684"/>
      <c r="H472" s="685"/>
      <c r="I472" s="686"/>
      <c r="J472" s="687"/>
      <c r="K472" s="687"/>
      <c r="N472" s="685"/>
      <c r="O472" s="686"/>
      <c r="P472" s="687"/>
      <c r="Q472" s="687"/>
    </row>
    <row r="473" spans="7:17" ht="15.75" customHeight="1">
      <c r="G473" s="684"/>
      <c r="H473" s="685"/>
      <c r="I473" s="686"/>
      <c r="J473" s="687"/>
      <c r="K473" s="687"/>
      <c r="N473" s="685"/>
      <c r="O473" s="686"/>
      <c r="P473" s="687"/>
      <c r="Q473" s="687"/>
    </row>
    <row r="474" spans="7:17" ht="15.75" customHeight="1">
      <c r="G474" s="684"/>
      <c r="H474" s="685"/>
      <c r="I474" s="686"/>
      <c r="J474" s="687"/>
      <c r="K474" s="687"/>
      <c r="N474" s="685"/>
      <c r="O474" s="686"/>
      <c r="P474" s="687"/>
      <c r="Q474" s="687"/>
    </row>
    <row r="475" spans="7:17" ht="15.75" customHeight="1">
      <c r="G475" s="684"/>
      <c r="H475" s="685"/>
      <c r="I475" s="686"/>
      <c r="J475" s="687"/>
      <c r="K475" s="687"/>
      <c r="N475" s="685"/>
      <c r="O475" s="686"/>
      <c r="P475" s="687"/>
      <c r="Q475" s="687"/>
    </row>
    <row r="476" spans="7:17" ht="15.75" customHeight="1">
      <c r="G476" s="684"/>
      <c r="H476" s="685"/>
      <c r="I476" s="686"/>
      <c r="J476" s="687"/>
      <c r="K476" s="687"/>
      <c r="N476" s="685"/>
      <c r="O476" s="686"/>
      <c r="P476" s="687"/>
      <c r="Q476" s="687"/>
    </row>
    <row r="477" spans="7:17" ht="15.75" customHeight="1">
      <c r="G477" s="684"/>
      <c r="H477" s="685"/>
      <c r="I477" s="686"/>
      <c r="J477" s="687"/>
      <c r="K477" s="687"/>
      <c r="N477" s="685"/>
      <c r="O477" s="686"/>
      <c r="P477" s="687"/>
      <c r="Q477" s="687"/>
    </row>
    <row r="478" spans="7:17" ht="15.75" customHeight="1">
      <c r="G478" s="684"/>
      <c r="H478" s="685"/>
      <c r="I478" s="686"/>
      <c r="J478" s="687"/>
      <c r="K478" s="687"/>
      <c r="N478" s="685"/>
      <c r="O478" s="686"/>
      <c r="P478" s="687"/>
      <c r="Q478" s="687"/>
    </row>
    <row r="479" spans="7:17" ht="15.75" customHeight="1">
      <c r="G479" s="684"/>
      <c r="H479" s="685"/>
      <c r="I479" s="686"/>
      <c r="J479" s="687"/>
      <c r="K479" s="687"/>
      <c r="N479" s="685"/>
      <c r="O479" s="686"/>
      <c r="P479" s="687"/>
      <c r="Q479" s="687"/>
    </row>
    <row r="480" spans="7:17" ht="15.75" customHeight="1">
      <c r="G480" s="684"/>
      <c r="H480" s="685"/>
      <c r="I480" s="686"/>
      <c r="J480" s="687"/>
      <c r="K480" s="687"/>
      <c r="N480" s="685"/>
      <c r="O480" s="686"/>
      <c r="P480" s="687"/>
      <c r="Q480" s="687"/>
    </row>
    <row r="481" spans="7:17" ht="15.75" customHeight="1">
      <c r="G481" s="684"/>
      <c r="H481" s="685"/>
      <c r="I481" s="686"/>
      <c r="J481" s="687"/>
      <c r="K481" s="687"/>
      <c r="N481" s="685"/>
      <c r="O481" s="686"/>
      <c r="P481" s="687"/>
      <c r="Q481" s="687"/>
    </row>
    <row r="482" spans="7:17" ht="15.75" customHeight="1">
      <c r="G482" s="684"/>
      <c r="H482" s="685"/>
      <c r="I482" s="686"/>
      <c r="J482" s="687"/>
      <c r="K482" s="687"/>
      <c r="N482" s="685"/>
      <c r="O482" s="686"/>
      <c r="P482" s="687"/>
      <c r="Q482" s="687"/>
    </row>
    <row r="483" spans="7:17" ht="15.75" customHeight="1">
      <c r="G483" s="684"/>
      <c r="H483" s="685"/>
      <c r="I483" s="686"/>
      <c r="J483" s="687"/>
      <c r="K483" s="687"/>
      <c r="N483" s="685"/>
      <c r="O483" s="686"/>
      <c r="P483" s="687"/>
      <c r="Q483" s="687"/>
    </row>
    <row r="484" spans="7:17" ht="15.75" customHeight="1">
      <c r="G484" s="684"/>
      <c r="H484" s="685"/>
      <c r="I484" s="686"/>
      <c r="J484" s="687"/>
      <c r="K484" s="687"/>
      <c r="N484" s="685"/>
      <c r="O484" s="686"/>
      <c r="P484" s="687"/>
      <c r="Q484" s="687"/>
    </row>
    <row r="485" spans="7:17" ht="15.75" customHeight="1">
      <c r="G485" s="684"/>
      <c r="H485" s="685"/>
      <c r="I485" s="686"/>
      <c r="J485" s="687"/>
      <c r="K485" s="687"/>
      <c r="N485" s="685"/>
      <c r="O485" s="686"/>
      <c r="P485" s="687"/>
      <c r="Q485" s="687"/>
    </row>
    <row r="486" spans="7:17" ht="15.75" customHeight="1">
      <c r="G486" s="684"/>
      <c r="H486" s="685"/>
      <c r="I486" s="686"/>
      <c r="J486" s="687"/>
      <c r="K486" s="687"/>
      <c r="N486" s="685"/>
      <c r="O486" s="686"/>
      <c r="P486" s="687"/>
      <c r="Q486" s="687"/>
    </row>
    <row r="487" spans="7:17" ht="15.75" customHeight="1">
      <c r="G487" s="684"/>
      <c r="H487" s="685"/>
      <c r="I487" s="686"/>
      <c r="J487" s="687"/>
      <c r="K487" s="687"/>
      <c r="N487" s="685"/>
      <c r="O487" s="686"/>
      <c r="P487" s="687"/>
      <c r="Q487" s="687"/>
    </row>
    <row r="488" spans="7:17" ht="15.75" customHeight="1">
      <c r="G488" s="684"/>
      <c r="H488" s="685"/>
      <c r="I488" s="686"/>
      <c r="J488" s="687"/>
      <c r="K488" s="687"/>
      <c r="N488" s="685"/>
      <c r="O488" s="686"/>
      <c r="P488" s="687"/>
      <c r="Q488" s="687"/>
    </row>
    <row r="489" spans="7:17" ht="15.75" customHeight="1">
      <c r="G489" s="684"/>
      <c r="H489" s="685"/>
      <c r="I489" s="686"/>
      <c r="J489" s="687"/>
      <c r="K489" s="687"/>
      <c r="N489" s="685"/>
      <c r="O489" s="686"/>
      <c r="P489" s="687"/>
      <c r="Q489" s="687"/>
    </row>
    <row r="490" spans="7:17" ht="15.75" customHeight="1">
      <c r="G490" s="684"/>
      <c r="H490" s="685"/>
      <c r="I490" s="686"/>
      <c r="J490" s="687"/>
      <c r="K490" s="687"/>
      <c r="N490" s="685"/>
      <c r="O490" s="686"/>
      <c r="P490" s="687"/>
      <c r="Q490" s="687"/>
    </row>
    <row r="491" spans="7:17" ht="15.75" customHeight="1">
      <c r="G491" s="684"/>
      <c r="H491" s="685"/>
      <c r="I491" s="686"/>
      <c r="J491" s="687"/>
      <c r="K491" s="687"/>
      <c r="N491" s="685"/>
      <c r="O491" s="686"/>
      <c r="P491" s="687"/>
      <c r="Q491" s="687"/>
    </row>
    <row r="492" spans="7:17" ht="15.75" customHeight="1">
      <c r="G492" s="684"/>
      <c r="H492" s="685"/>
      <c r="I492" s="686"/>
      <c r="J492" s="687"/>
      <c r="K492" s="687"/>
      <c r="N492" s="685"/>
      <c r="O492" s="686"/>
      <c r="P492" s="687"/>
      <c r="Q492" s="687"/>
    </row>
    <row r="493" spans="7:17" ht="15.75" customHeight="1">
      <c r="G493" s="684"/>
      <c r="H493" s="685"/>
      <c r="I493" s="686"/>
      <c r="J493" s="687"/>
      <c r="K493" s="687"/>
      <c r="N493" s="685"/>
      <c r="O493" s="686"/>
      <c r="P493" s="687"/>
      <c r="Q493" s="687"/>
    </row>
    <row r="494" spans="7:17" ht="15.75" customHeight="1">
      <c r="G494" s="684"/>
      <c r="H494" s="685"/>
      <c r="I494" s="686"/>
      <c r="J494" s="687"/>
      <c r="K494" s="687"/>
      <c r="N494" s="685"/>
      <c r="O494" s="686"/>
      <c r="P494" s="687"/>
      <c r="Q494" s="687"/>
    </row>
    <row r="495" spans="7:17" ht="15.75" customHeight="1">
      <c r="G495" s="684"/>
      <c r="H495" s="685"/>
      <c r="I495" s="686"/>
      <c r="J495" s="687"/>
      <c r="K495" s="687"/>
      <c r="N495" s="685"/>
      <c r="O495" s="686"/>
      <c r="P495" s="687"/>
      <c r="Q495" s="687"/>
    </row>
    <row r="496" spans="7:17" ht="15.75" customHeight="1">
      <c r="G496" s="684"/>
      <c r="H496" s="685"/>
      <c r="I496" s="686"/>
      <c r="J496" s="687"/>
      <c r="K496" s="687"/>
      <c r="N496" s="685"/>
      <c r="O496" s="686"/>
      <c r="P496" s="687"/>
      <c r="Q496" s="687"/>
    </row>
    <row r="497" spans="7:17" ht="15.75" customHeight="1">
      <c r="G497" s="684"/>
      <c r="H497" s="685"/>
      <c r="I497" s="686"/>
      <c r="J497" s="687"/>
      <c r="K497" s="687"/>
      <c r="N497" s="685"/>
      <c r="O497" s="686"/>
      <c r="P497" s="687"/>
      <c r="Q497" s="687"/>
    </row>
    <row r="498" spans="7:17" ht="15.75" customHeight="1">
      <c r="G498" s="684"/>
      <c r="H498" s="685"/>
      <c r="I498" s="686"/>
      <c r="J498" s="687"/>
      <c r="K498" s="687"/>
      <c r="N498" s="685"/>
      <c r="O498" s="686"/>
      <c r="P498" s="687"/>
      <c r="Q498" s="687"/>
    </row>
    <row r="499" spans="7:17" ht="15.75" customHeight="1">
      <c r="G499" s="684"/>
      <c r="H499" s="685"/>
      <c r="I499" s="686"/>
      <c r="J499" s="687"/>
      <c r="K499" s="687"/>
      <c r="N499" s="685"/>
      <c r="O499" s="686"/>
      <c r="P499" s="687"/>
      <c r="Q499" s="687"/>
    </row>
    <row r="500" spans="7:17" ht="15.75" customHeight="1">
      <c r="G500" s="684"/>
      <c r="H500" s="685"/>
      <c r="I500" s="686"/>
      <c r="J500" s="687"/>
      <c r="K500" s="687"/>
      <c r="N500" s="685"/>
      <c r="O500" s="686"/>
      <c r="P500" s="687"/>
      <c r="Q500" s="687"/>
    </row>
    <row r="501" spans="7:17" ht="15.75" customHeight="1">
      <c r="G501" s="684"/>
      <c r="H501" s="685"/>
      <c r="I501" s="686"/>
      <c r="J501" s="687"/>
      <c r="K501" s="687"/>
      <c r="N501" s="685"/>
      <c r="O501" s="686"/>
      <c r="P501" s="687"/>
      <c r="Q501" s="687"/>
    </row>
    <row r="502" spans="7:17" ht="15.75" customHeight="1">
      <c r="G502" s="684"/>
      <c r="H502" s="685"/>
      <c r="I502" s="686"/>
      <c r="J502" s="687"/>
      <c r="K502" s="687"/>
      <c r="N502" s="685"/>
      <c r="O502" s="686"/>
      <c r="P502" s="687"/>
      <c r="Q502" s="687"/>
    </row>
    <row r="503" spans="7:17" ht="15.75" customHeight="1">
      <c r="G503" s="684"/>
      <c r="H503" s="685"/>
      <c r="I503" s="686"/>
      <c r="J503" s="687"/>
      <c r="K503" s="687"/>
      <c r="N503" s="685"/>
      <c r="O503" s="686"/>
      <c r="P503" s="687"/>
      <c r="Q503" s="687"/>
    </row>
    <row r="504" spans="7:17" ht="15.75" customHeight="1">
      <c r="G504" s="684"/>
      <c r="H504" s="685"/>
      <c r="I504" s="686"/>
      <c r="J504" s="687"/>
      <c r="K504" s="687"/>
      <c r="N504" s="685"/>
      <c r="O504" s="686"/>
      <c r="P504" s="687"/>
      <c r="Q504" s="687"/>
    </row>
    <row r="505" spans="7:17" ht="15.75" customHeight="1">
      <c r="G505" s="684"/>
      <c r="H505" s="685"/>
      <c r="I505" s="686"/>
      <c r="J505" s="687"/>
      <c r="K505" s="687"/>
      <c r="N505" s="685"/>
      <c r="O505" s="686"/>
      <c r="P505" s="687"/>
      <c r="Q505" s="687"/>
    </row>
    <row r="506" spans="7:17" ht="15.75" customHeight="1">
      <c r="G506" s="684"/>
      <c r="H506" s="685"/>
      <c r="I506" s="686"/>
      <c r="J506" s="687"/>
      <c r="K506" s="687"/>
      <c r="N506" s="685"/>
      <c r="O506" s="686"/>
      <c r="P506" s="687"/>
      <c r="Q506" s="687"/>
    </row>
    <row r="507" spans="7:17" ht="15.75" customHeight="1">
      <c r="G507" s="684"/>
      <c r="H507" s="685"/>
      <c r="I507" s="686"/>
      <c r="J507" s="687"/>
      <c r="K507" s="687"/>
      <c r="N507" s="685"/>
      <c r="O507" s="686"/>
      <c r="P507" s="687"/>
      <c r="Q507" s="687"/>
    </row>
    <row r="508" spans="7:17" ht="15.75" customHeight="1">
      <c r="G508" s="684"/>
      <c r="H508" s="685"/>
      <c r="I508" s="686"/>
      <c r="J508" s="687"/>
      <c r="K508" s="687"/>
      <c r="N508" s="685"/>
      <c r="O508" s="686"/>
      <c r="P508" s="687"/>
      <c r="Q508" s="687"/>
    </row>
    <row r="509" spans="7:17" ht="15.75" customHeight="1">
      <c r="G509" s="684"/>
      <c r="H509" s="685"/>
      <c r="I509" s="686"/>
      <c r="J509" s="687"/>
      <c r="K509" s="687"/>
      <c r="N509" s="685"/>
      <c r="O509" s="686"/>
      <c r="P509" s="687"/>
      <c r="Q509" s="687"/>
    </row>
    <row r="510" spans="7:17" ht="15.75" customHeight="1">
      <c r="G510" s="684"/>
      <c r="H510" s="685"/>
      <c r="I510" s="686"/>
      <c r="J510" s="687"/>
      <c r="K510" s="687"/>
      <c r="N510" s="685"/>
      <c r="O510" s="686"/>
      <c r="P510" s="687"/>
      <c r="Q510" s="687"/>
    </row>
    <row r="511" spans="7:17" ht="15.75" customHeight="1">
      <c r="G511" s="684"/>
      <c r="H511" s="685"/>
      <c r="I511" s="686"/>
      <c r="J511" s="687"/>
      <c r="K511" s="687"/>
      <c r="N511" s="685"/>
      <c r="O511" s="686"/>
      <c r="P511" s="687"/>
      <c r="Q511" s="687"/>
    </row>
    <row r="512" spans="7:17" ht="15.75" customHeight="1">
      <c r="G512" s="684"/>
      <c r="H512" s="685"/>
      <c r="I512" s="686"/>
      <c r="J512" s="687"/>
      <c r="K512" s="687"/>
      <c r="N512" s="685"/>
      <c r="O512" s="686"/>
      <c r="P512" s="687"/>
      <c r="Q512" s="687"/>
    </row>
    <row r="513" spans="7:17" ht="15.75" customHeight="1">
      <c r="G513" s="684"/>
      <c r="H513" s="685"/>
      <c r="I513" s="686"/>
      <c r="J513" s="687"/>
      <c r="K513" s="687"/>
      <c r="N513" s="685"/>
      <c r="O513" s="686"/>
      <c r="P513" s="687"/>
      <c r="Q513" s="687"/>
    </row>
    <row r="514" spans="7:17" ht="15.75" customHeight="1">
      <c r="G514" s="684"/>
      <c r="H514" s="685"/>
      <c r="I514" s="686"/>
      <c r="J514" s="687"/>
      <c r="K514" s="687"/>
      <c r="N514" s="685"/>
      <c r="O514" s="686"/>
      <c r="P514" s="687"/>
      <c r="Q514" s="687"/>
    </row>
    <row r="515" spans="7:17" ht="15.75" customHeight="1">
      <c r="G515" s="684"/>
      <c r="H515" s="685"/>
      <c r="I515" s="686"/>
      <c r="J515" s="687"/>
      <c r="K515" s="687"/>
      <c r="N515" s="685"/>
      <c r="O515" s="686"/>
      <c r="P515" s="687"/>
      <c r="Q515" s="687"/>
    </row>
    <row r="516" spans="7:17" ht="15.75" customHeight="1">
      <c r="G516" s="684"/>
      <c r="H516" s="685"/>
      <c r="I516" s="686"/>
      <c r="J516" s="687"/>
      <c r="K516" s="687"/>
      <c r="N516" s="685"/>
      <c r="O516" s="686"/>
      <c r="P516" s="687"/>
      <c r="Q516" s="687"/>
    </row>
    <row r="517" spans="7:17" ht="15.75" customHeight="1">
      <c r="G517" s="684"/>
      <c r="H517" s="685"/>
      <c r="I517" s="686"/>
      <c r="J517" s="687"/>
      <c r="K517" s="687"/>
      <c r="N517" s="685"/>
      <c r="O517" s="686"/>
      <c r="P517" s="687"/>
      <c r="Q517" s="687"/>
    </row>
    <row r="518" spans="7:17" ht="15.75" customHeight="1">
      <c r="G518" s="684"/>
      <c r="H518" s="685"/>
      <c r="I518" s="686"/>
      <c r="J518" s="687"/>
      <c r="K518" s="687"/>
      <c r="N518" s="685"/>
      <c r="O518" s="686"/>
      <c r="P518" s="687"/>
      <c r="Q518" s="687"/>
    </row>
    <row r="519" spans="7:17" ht="15.75" customHeight="1">
      <c r="G519" s="684"/>
      <c r="H519" s="685"/>
      <c r="I519" s="686"/>
      <c r="J519" s="687"/>
      <c r="K519" s="687"/>
      <c r="N519" s="685"/>
      <c r="O519" s="686"/>
      <c r="P519" s="687"/>
      <c r="Q519" s="687"/>
    </row>
    <row r="520" spans="7:17" ht="15.75" customHeight="1">
      <c r="G520" s="684"/>
      <c r="H520" s="685"/>
      <c r="I520" s="686"/>
      <c r="J520" s="687"/>
      <c r="K520" s="687"/>
      <c r="N520" s="685"/>
      <c r="O520" s="686"/>
      <c r="P520" s="687"/>
      <c r="Q520" s="687"/>
    </row>
    <row r="521" spans="7:17" ht="15.75" customHeight="1">
      <c r="G521" s="684"/>
      <c r="H521" s="685"/>
      <c r="I521" s="686"/>
      <c r="J521" s="687"/>
      <c r="K521" s="687"/>
      <c r="N521" s="685"/>
      <c r="O521" s="686"/>
      <c r="P521" s="687"/>
      <c r="Q521" s="687"/>
    </row>
    <row r="522" spans="7:17" ht="15.75" customHeight="1">
      <c r="G522" s="684"/>
      <c r="H522" s="685"/>
      <c r="I522" s="686"/>
      <c r="J522" s="687"/>
      <c r="K522" s="687"/>
      <c r="N522" s="685"/>
      <c r="O522" s="686"/>
      <c r="P522" s="687"/>
      <c r="Q522" s="687"/>
    </row>
    <row r="523" spans="7:17" ht="15.75" customHeight="1">
      <c r="G523" s="684"/>
      <c r="H523" s="685"/>
      <c r="I523" s="686"/>
      <c r="J523" s="687"/>
      <c r="K523" s="687"/>
      <c r="N523" s="685"/>
      <c r="O523" s="686"/>
      <c r="P523" s="687"/>
      <c r="Q523" s="687"/>
    </row>
    <row r="524" spans="7:17" ht="15.75" customHeight="1">
      <c r="G524" s="684"/>
      <c r="H524" s="685"/>
      <c r="I524" s="686"/>
      <c r="J524" s="687"/>
      <c r="K524" s="687"/>
      <c r="N524" s="685"/>
      <c r="O524" s="686"/>
      <c r="P524" s="687"/>
      <c r="Q524" s="687"/>
    </row>
    <row r="525" spans="7:17" ht="15.75" customHeight="1">
      <c r="G525" s="684"/>
      <c r="H525" s="685"/>
      <c r="I525" s="686"/>
      <c r="J525" s="687"/>
      <c r="K525" s="687"/>
      <c r="N525" s="685"/>
      <c r="O525" s="686"/>
      <c r="P525" s="687"/>
      <c r="Q525" s="687"/>
    </row>
    <row r="526" spans="7:17" ht="15.75" customHeight="1">
      <c r="G526" s="684"/>
      <c r="H526" s="685"/>
      <c r="I526" s="686"/>
      <c r="J526" s="687"/>
      <c r="K526" s="687"/>
      <c r="N526" s="685"/>
      <c r="O526" s="686"/>
      <c r="P526" s="687"/>
      <c r="Q526" s="687"/>
    </row>
    <row r="527" spans="7:17" ht="15.75" customHeight="1">
      <c r="G527" s="684"/>
      <c r="H527" s="685"/>
      <c r="I527" s="686"/>
      <c r="J527" s="687"/>
      <c r="K527" s="687"/>
      <c r="N527" s="685"/>
      <c r="O527" s="686"/>
      <c r="P527" s="687"/>
      <c r="Q527" s="687"/>
    </row>
    <row r="528" spans="7:17" ht="15.75" customHeight="1">
      <c r="G528" s="684"/>
      <c r="H528" s="685"/>
      <c r="I528" s="686"/>
      <c r="J528" s="687"/>
      <c r="K528" s="687"/>
      <c r="N528" s="685"/>
      <c r="O528" s="686"/>
      <c r="P528" s="687"/>
      <c r="Q528" s="687"/>
    </row>
    <row r="529" spans="7:17" ht="15.75" customHeight="1">
      <c r="G529" s="684"/>
      <c r="H529" s="685"/>
      <c r="I529" s="686"/>
      <c r="J529" s="687"/>
      <c r="K529" s="687"/>
      <c r="N529" s="685"/>
      <c r="O529" s="686"/>
      <c r="P529" s="687"/>
      <c r="Q529" s="687"/>
    </row>
    <row r="530" spans="7:17" ht="15.75" customHeight="1">
      <c r="G530" s="684"/>
      <c r="H530" s="685"/>
      <c r="I530" s="686"/>
      <c r="J530" s="687"/>
      <c r="K530" s="687"/>
      <c r="N530" s="685"/>
      <c r="O530" s="686"/>
      <c r="P530" s="687"/>
      <c r="Q530" s="687"/>
    </row>
    <row r="531" spans="7:17" ht="15.75" customHeight="1">
      <c r="G531" s="684"/>
      <c r="H531" s="685"/>
      <c r="I531" s="686"/>
      <c r="J531" s="687"/>
      <c r="K531" s="687"/>
      <c r="N531" s="685"/>
      <c r="O531" s="686"/>
      <c r="P531" s="687"/>
      <c r="Q531" s="687"/>
    </row>
    <row r="532" spans="7:17" ht="15.75" customHeight="1">
      <c r="G532" s="684"/>
      <c r="H532" s="685"/>
      <c r="I532" s="686"/>
      <c r="J532" s="687"/>
      <c r="K532" s="687"/>
      <c r="N532" s="685"/>
      <c r="O532" s="686"/>
      <c r="P532" s="687"/>
      <c r="Q532" s="687"/>
    </row>
    <row r="533" spans="7:17" ht="15.75" customHeight="1">
      <c r="G533" s="684"/>
      <c r="H533" s="685"/>
      <c r="I533" s="686"/>
      <c r="J533" s="687"/>
      <c r="K533" s="687"/>
      <c r="N533" s="685"/>
      <c r="O533" s="686"/>
      <c r="P533" s="687"/>
      <c r="Q533" s="687"/>
    </row>
    <row r="534" spans="7:17" ht="15.75" customHeight="1">
      <c r="G534" s="684"/>
      <c r="H534" s="685"/>
      <c r="I534" s="686"/>
      <c r="J534" s="687"/>
      <c r="K534" s="687"/>
      <c r="N534" s="685"/>
      <c r="O534" s="686"/>
      <c r="P534" s="687"/>
      <c r="Q534" s="687"/>
    </row>
    <row r="535" spans="7:17" ht="15.75" customHeight="1">
      <c r="G535" s="684"/>
      <c r="H535" s="685"/>
      <c r="I535" s="686"/>
      <c r="J535" s="687"/>
      <c r="K535" s="687"/>
      <c r="N535" s="685"/>
      <c r="O535" s="686"/>
      <c r="P535" s="687"/>
      <c r="Q535" s="687"/>
    </row>
    <row r="536" spans="7:17" ht="15.75" customHeight="1">
      <c r="G536" s="684"/>
      <c r="H536" s="685"/>
      <c r="I536" s="686"/>
      <c r="J536" s="687"/>
      <c r="K536" s="687"/>
      <c r="N536" s="685"/>
      <c r="O536" s="686"/>
      <c r="P536" s="687"/>
      <c r="Q536" s="687"/>
    </row>
    <row r="537" spans="7:17" ht="15.75" customHeight="1">
      <c r="G537" s="684"/>
      <c r="H537" s="685"/>
      <c r="I537" s="686"/>
      <c r="J537" s="687"/>
      <c r="K537" s="687"/>
      <c r="N537" s="685"/>
      <c r="O537" s="686"/>
      <c r="P537" s="687"/>
      <c r="Q537" s="687"/>
    </row>
    <row r="538" spans="7:17" ht="15.75" customHeight="1">
      <c r="G538" s="684"/>
      <c r="H538" s="685"/>
      <c r="I538" s="686"/>
      <c r="J538" s="687"/>
      <c r="K538" s="687"/>
      <c r="N538" s="685"/>
      <c r="O538" s="686"/>
      <c r="P538" s="687"/>
      <c r="Q538" s="687"/>
    </row>
    <row r="539" spans="7:17" ht="15.75" customHeight="1">
      <c r="G539" s="684"/>
      <c r="H539" s="685"/>
      <c r="I539" s="686"/>
      <c r="J539" s="687"/>
      <c r="K539" s="687"/>
      <c r="N539" s="685"/>
      <c r="O539" s="686"/>
      <c r="P539" s="687"/>
      <c r="Q539" s="687"/>
    </row>
    <row r="540" spans="7:17" ht="15.75" customHeight="1">
      <c r="G540" s="684"/>
      <c r="H540" s="685"/>
      <c r="I540" s="686"/>
      <c r="J540" s="687"/>
      <c r="K540" s="687"/>
      <c r="N540" s="685"/>
      <c r="O540" s="686"/>
      <c r="P540" s="687"/>
      <c r="Q540" s="687"/>
    </row>
    <row r="541" spans="7:17" ht="15.75" customHeight="1">
      <c r="G541" s="684"/>
      <c r="H541" s="685"/>
      <c r="I541" s="686"/>
      <c r="J541" s="687"/>
      <c r="K541" s="687"/>
      <c r="N541" s="685"/>
      <c r="O541" s="686"/>
      <c r="P541" s="687"/>
      <c r="Q541" s="687"/>
    </row>
    <row r="542" spans="7:17" ht="15.75" customHeight="1">
      <c r="G542" s="684"/>
      <c r="H542" s="685"/>
      <c r="I542" s="686"/>
      <c r="J542" s="687"/>
      <c r="K542" s="687"/>
      <c r="N542" s="685"/>
      <c r="O542" s="686"/>
      <c r="P542" s="687"/>
      <c r="Q542" s="687"/>
    </row>
    <row r="543" spans="7:17" ht="15.75" customHeight="1">
      <c r="G543" s="684"/>
      <c r="H543" s="685"/>
      <c r="I543" s="686"/>
      <c r="J543" s="687"/>
      <c r="K543" s="687"/>
      <c r="N543" s="685"/>
      <c r="O543" s="686"/>
      <c r="P543" s="687"/>
      <c r="Q543" s="687"/>
    </row>
    <row r="544" spans="7:17" ht="15.75" customHeight="1">
      <c r="G544" s="684"/>
      <c r="H544" s="685"/>
      <c r="I544" s="686"/>
      <c r="J544" s="687"/>
      <c r="K544" s="687"/>
      <c r="N544" s="685"/>
      <c r="O544" s="686"/>
      <c r="P544" s="687"/>
      <c r="Q544" s="687"/>
    </row>
    <row r="545" spans="7:17" ht="15.75" customHeight="1">
      <c r="G545" s="684"/>
      <c r="H545" s="685"/>
      <c r="I545" s="686"/>
      <c r="J545" s="687"/>
      <c r="K545" s="687"/>
      <c r="N545" s="685"/>
      <c r="O545" s="686"/>
      <c r="P545" s="687"/>
      <c r="Q545" s="687"/>
    </row>
    <row r="546" spans="7:17" ht="15.75" customHeight="1">
      <c r="G546" s="684"/>
      <c r="H546" s="685"/>
      <c r="I546" s="686"/>
      <c r="J546" s="687"/>
      <c r="K546" s="687"/>
      <c r="N546" s="685"/>
      <c r="O546" s="686"/>
      <c r="P546" s="687"/>
      <c r="Q546" s="687"/>
    </row>
    <row r="547" spans="7:17" ht="15.75" customHeight="1">
      <c r="G547" s="684"/>
      <c r="H547" s="685"/>
      <c r="I547" s="686"/>
      <c r="J547" s="687"/>
      <c r="K547" s="687"/>
      <c r="N547" s="685"/>
      <c r="O547" s="686"/>
      <c r="P547" s="687"/>
      <c r="Q547" s="687"/>
    </row>
    <row r="548" spans="7:17" ht="15.75" customHeight="1">
      <c r="G548" s="684"/>
      <c r="H548" s="685"/>
      <c r="I548" s="686"/>
      <c r="J548" s="687"/>
      <c r="K548" s="687"/>
      <c r="N548" s="685"/>
      <c r="O548" s="686"/>
      <c r="P548" s="687"/>
      <c r="Q548" s="687"/>
    </row>
    <row r="549" spans="7:17" ht="15.75" customHeight="1">
      <c r="G549" s="684"/>
      <c r="H549" s="685"/>
      <c r="I549" s="686"/>
      <c r="J549" s="687"/>
      <c r="K549" s="687"/>
      <c r="N549" s="685"/>
      <c r="O549" s="686"/>
      <c r="P549" s="687"/>
      <c r="Q549" s="687"/>
    </row>
    <row r="550" spans="7:17" ht="15.75" customHeight="1">
      <c r="G550" s="684"/>
      <c r="H550" s="685"/>
      <c r="I550" s="686"/>
      <c r="J550" s="687"/>
      <c r="K550" s="687"/>
      <c r="N550" s="685"/>
      <c r="O550" s="686"/>
      <c r="P550" s="687"/>
      <c r="Q550" s="687"/>
    </row>
    <row r="551" spans="7:17" ht="15.75" customHeight="1">
      <c r="G551" s="684"/>
      <c r="H551" s="685"/>
      <c r="I551" s="686"/>
      <c r="J551" s="687"/>
      <c r="K551" s="687"/>
      <c r="N551" s="685"/>
      <c r="O551" s="686"/>
      <c r="P551" s="687"/>
      <c r="Q551" s="687"/>
    </row>
    <row r="552" spans="7:17" ht="15.75" customHeight="1">
      <c r="G552" s="684"/>
      <c r="H552" s="685"/>
      <c r="I552" s="686"/>
      <c r="J552" s="687"/>
      <c r="K552" s="687"/>
      <c r="N552" s="685"/>
      <c r="O552" s="686"/>
      <c r="P552" s="687"/>
      <c r="Q552" s="687"/>
    </row>
    <row r="553" spans="7:17" ht="15.75" customHeight="1">
      <c r="G553" s="684"/>
      <c r="H553" s="685"/>
      <c r="I553" s="686"/>
      <c r="J553" s="687"/>
      <c r="K553" s="687"/>
      <c r="N553" s="685"/>
      <c r="O553" s="686"/>
      <c r="P553" s="687"/>
      <c r="Q553" s="687"/>
    </row>
    <row r="554" spans="7:17" ht="15.75" customHeight="1">
      <c r="G554" s="684"/>
      <c r="H554" s="685"/>
      <c r="I554" s="686"/>
      <c r="J554" s="687"/>
      <c r="K554" s="687"/>
      <c r="N554" s="685"/>
      <c r="O554" s="686"/>
      <c r="P554" s="687"/>
      <c r="Q554" s="687"/>
    </row>
    <row r="555" spans="7:17" ht="15.75" customHeight="1">
      <c r="G555" s="684"/>
      <c r="H555" s="685"/>
      <c r="I555" s="686"/>
      <c r="J555" s="687"/>
      <c r="K555" s="687"/>
      <c r="N555" s="685"/>
      <c r="O555" s="686"/>
      <c r="P555" s="687"/>
      <c r="Q555" s="687"/>
    </row>
    <row r="556" spans="7:17" ht="15.75" customHeight="1">
      <c r="G556" s="684"/>
      <c r="H556" s="685"/>
      <c r="I556" s="686"/>
      <c r="J556" s="687"/>
      <c r="K556" s="687"/>
      <c r="N556" s="685"/>
      <c r="O556" s="686"/>
      <c r="P556" s="687"/>
      <c r="Q556" s="687"/>
    </row>
    <row r="557" spans="7:17" ht="15.75" customHeight="1">
      <c r="G557" s="684"/>
      <c r="H557" s="685"/>
      <c r="I557" s="686"/>
      <c r="J557" s="687"/>
      <c r="K557" s="687"/>
      <c r="N557" s="685"/>
      <c r="O557" s="686"/>
      <c r="P557" s="687"/>
      <c r="Q557" s="687"/>
    </row>
    <row r="558" spans="7:17" ht="15.75" customHeight="1">
      <c r="G558" s="684"/>
      <c r="H558" s="685"/>
      <c r="I558" s="686"/>
      <c r="J558" s="687"/>
      <c r="K558" s="687"/>
      <c r="N558" s="685"/>
      <c r="O558" s="686"/>
      <c r="P558" s="687"/>
      <c r="Q558" s="687"/>
    </row>
    <row r="559" spans="7:17" ht="15.75" customHeight="1">
      <c r="G559" s="684"/>
      <c r="H559" s="685"/>
      <c r="I559" s="686"/>
      <c r="J559" s="687"/>
      <c r="K559" s="687"/>
      <c r="N559" s="685"/>
      <c r="O559" s="686"/>
      <c r="P559" s="687"/>
      <c r="Q559" s="687"/>
    </row>
    <row r="560" spans="7:17" ht="15.75" customHeight="1">
      <c r="G560" s="684"/>
      <c r="H560" s="685"/>
      <c r="I560" s="686"/>
      <c r="J560" s="687"/>
      <c r="K560" s="687"/>
      <c r="N560" s="685"/>
      <c r="O560" s="686"/>
      <c r="P560" s="687"/>
      <c r="Q560" s="687"/>
    </row>
    <row r="561" spans="7:17" ht="15.75" customHeight="1">
      <c r="G561" s="684"/>
      <c r="H561" s="685"/>
      <c r="I561" s="686"/>
      <c r="J561" s="687"/>
      <c r="K561" s="687"/>
      <c r="N561" s="685"/>
      <c r="O561" s="686"/>
      <c r="P561" s="687"/>
      <c r="Q561" s="687"/>
    </row>
    <row r="562" spans="7:17" ht="15.75" customHeight="1">
      <c r="G562" s="684"/>
      <c r="H562" s="685"/>
      <c r="I562" s="686"/>
      <c r="J562" s="687"/>
      <c r="K562" s="687"/>
      <c r="N562" s="685"/>
      <c r="O562" s="686"/>
      <c r="P562" s="687"/>
      <c r="Q562" s="687"/>
    </row>
    <row r="563" spans="7:17" ht="15.75" customHeight="1">
      <c r="G563" s="684"/>
      <c r="H563" s="685"/>
      <c r="I563" s="686"/>
      <c r="J563" s="687"/>
      <c r="K563" s="687"/>
      <c r="N563" s="685"/>
      <c r="O563" s="686"/>
      <c r="P563" s="687"/>
      <c r="Q563" s="687"/>
    </row>
    <row r="564" spans="7:17" ht="15.75" customHeight="1">
      <c r="G564" s="684"/>
      <c r="H564" s="685"/>
      <c r="I564" s="686"/>
      <c r="J564" s="687"/>
      <c r="K564" s="687"/>
      <c r="N564" s="685"/>
      <c r="O564" s="686"/>
      <c r="P564" s="687"/>
      <c r="Q564" s="687"/>
    </row>
    <row r="565" spans="7:17" ht="15.75" customHeight="1">
      <c r="G565" s="684"/>
      <c r="H565" s="685"/>
      <c r="I565" s="686"/>
      <c r="J565" s="687"/>
      <c r="K565" s="687"/>
      <c r="N565" s="685"/>
      <c r="O565" s="686"/>
      <c r="P565" s="687"/>
      <c r="Q565" s="687"/>
    </row>
    <row r="566" spans="7:17" ht="15.75" customHeight="1">
      <c r="G566" s="684"/>
      <c r="H566" s="685"/>
      <c r="I566" s="686"/>
      <c r="J566" s="687"/>
      <c r="K566" s="687"/>
      <c r="N566" s="685"/>
      <c r="O566" s="686"/>
      <c r="P566" s="687"/>
      <c r="Q566" s="687"/>
    </row>
    <row r="567" spans="7:17" ht="15.75" customHeight="1">
      <c r="G567" s="684"/>
      <c r="H567" s="685"/>
      <c r="I567" s="686"/>
      <c r="J567" s="687"/>
      <c r="K567" s="687"/>
      <c r="N567" s="685"/>
      <c r="O567" s="686"/>
      <c r="P567" s="687"/>
      <c r="Q567" s="687"/>
    </row>
    <row r="568" spans="7:17" ht="15.75" customHeight="1">
      <c r="G568" s="684"/>
      <c r="H568" s="685"/>
      <c r="I568" s="686"/>
      <c r="J568" s="687"/>
      <c r="K568" s="687"/>
      <c r="N568" s="685"/>
      <c r="O568" s="686"/>
      <c r="P568" s="687"/>
      <c r="Q568" s="687"/>
    </row>
    <row r="569" spans="7:17" ht="15.75" customHeight="1">
      <c r="G569" s="684"/>
      <c r="H569" s="685"/>
      <c r="I569" s="686"/>
      <c r="J569" s="687"/>
      <c r="K569" s="687"/>
      <c r="N569" s="685"/>
      <c r="O569" s="686"/>
      <c r="P569" s="687"/>
      <c r="Q569" s="687"/>
    </row>
    <row r="570" spans="7:17" ht="15.75" customHeight="1">
      <c r="G570" s="684"/>
      <c r="H570" s="685"/>
      <c r="I570" s="686"/>
      <c r="J570" s="687"/>
      <c r="K570" s="687"/>
      <c r="N570" s="685"/>
      <c r="O570" s="686"/>
      <c r="P570" s="687"/>
      <c r="Q570" s="687"/>
    </row>
    <row r="571" spans="7:17" ht="15.75" customHeight="1">
      <c r="G571" s="684"/>
      <c r="H571" s="685"/>
      <c r="I571" s="686"/>
      <c r="J571" s="687"/>
      <c r="K571" s="687"/>
      <c r="N571" s="685"/>
      <c r="O571" s="686"/>
      <c r="P571" s="687"/>
      <c r="Q571" s="687"/>
    </row>
    <row r="572" spans="7:17" ht="15.75" customHeight="1">
      <c r="G572" s="684"/>
      <c r="H572" s="685"/>
      <c r="I572" s="686"/>
      <c r="J572" s="687"/>
      <c r="K572" s="687"/>
      <c r="N572" s="685"/>
      <c r="O572" s="686"/>
      <c r="P572" s="687"/>
      <c r="Q572" s="687"/>
    </row>
    <row r="573" spans="7:17" ht="15.75" customHeight="1">
      <c r="G573" s="684"/>
      <c r="H573" s="685"/>
      <c r="I573" s="686"/>
      <c r="J573" s="687"/>
      <c r="K573" s="687"/>
      <c r="N573" s="685"/>
      <c r="O573" s="686"/>
      <c r="P573" s="687"/>
      <c r="Q573" s="687"/>
    </row>
    <row r="574" spans="7:17" ht="15.75" customHeight="1">
      <c r="G574" s="684"/>
      <c r="H574" s="685"/>
      <c r="I574" s="686"/>
      <c r="J574" s="687"/>
      <c r="K574" s="687"/>
      <c r="N574" s="685"/>
      <c r="O574" s="686"/>
      <c r="P574" s="687"/>
      <c r="Q574" s="687"/>
    </row>
    <row r="575" spans="7:17" ht="15.75" customHeight="1">
      <c r="G575" s="684"/>
      <c r="H575" s="685"/>
      <c r="I575" s="686"/>
      <c r="J575" s="687"/>
      <c r="K575" s="687"/>
      <c r="N575" s="685"/>
      <c r="O575" s="686"/>
      <c r="P575" s="687"/>
      <c r="Q575" s="687"/>
    </row>
    <row r="576" spans="7:17" ht="15.75" customHeight="1">
      <c r="G576" s="684"/>
      <c r="H576" s="685"/>
      <c r="I576" s="686"/>
      <c r="J576" s="687"/>
      <c r="K576" s="687"/>
      <c r="N576" s="685"/>
      <c r="O576" s="686"/>
      <c r="P576" s="687"/>
      <c r="Q576" s="687"/>
    </row>
    <row r="577" spans="7:17" ht="15.75" customHeight="1">
      <c r="G577" s="684"/>
      <c r="H577" s="685"/>
      <c r="I577" s="686"/>
      <c r="J577" s="687"/>
      <c r="K577" s="687"/>
      <c r="N577" s="685"/>
      <c r="O577" s="686"/>
      <c r="P577" s="687"/>
      <c r="Q577" s="687"/>
    </row>
    <row r="578" spans="7:17" ht="15.75" customHeight="1">
      <c r="G578" s="684"/>
      <c r="H578" s="685"/>
      <c r="I578" s="686"/>
      <c r="J578" s="687"/>
      <c r="K578" s="687"/>
      <c r="N578" s="685"/>
      <c r="O578" s="686"/>
      <c r="P578" s="687"/>
      <c r="Q578" s="687"/>
    </row>
    <row r="579" spans="7:17" ht="15.75" customHeight="1">
      <c r="G579" s="684"/>
      <c r="H579" s="685"/>
      <c r="I579" s="686"/>
      <c r="J579" s="687"/>
      <c r="K579" s="687"/>
      <c r="N579" s="685"/>
      <c r="O579" s="686"/>
      <c r="P579" s="687"/>
      <c r="Q579" s="687"/>
    </row>
    <row r="580" spans="7:17" ht="15.75" customHeight="1">
      <c r="G580" s="684"/>
      <c r="H580" s="685"/>
      <c r="I580" s="686"/>
      <c r="J580" s="687"/>
      <c r="K580" s="687"/>
      <c r="N580" s="685"/>
      <c r="O580" s="686"/>
      <c r="P580" s="687"/>
      <c r="Q580" s="687"/>
    </row>
    <row r="581" spans="7:17" ht="15.75" customHeight="1">
      <c r="G581" s="684"/>
      <c r="H581" s="685"/>
      <c r="I581" s="686"/>
      <c r="J581" s="687"/>
      <c r="K581" s="687"/>
      <c r="N581" s="685"/>
      <c r="O581" s="686"/>
      <c r="P581" s="687"/>
      <c r="Q581" s="687"/>
    </row>
    <row r="582" spans="7:17" ht="15.75" customHeight="1">
      <c r="G582" s="684"/>
      <c r="H582" s="685"/>
      <c r="I582" s="686"/>
      <c r="J582" s="687"/>
      <c r="K582" s="687"/>
      <c r="N582" s="685"/>
      <c r="O582" s="686"/>
      <c r="P582" s="687"/>
      <c r="Q582" s="687"/>
    </row>
    <row r="583" spans="7:17" ht="15.75" customHeight="1">
      <c r="G583" s="684"/>
      <c r="H583" s="685"/>
      <c r="I583" s="686"/>
      <c r="J583" s="687"/>
      <c r="K583" s="687"/>
      <c r="N583" s="685"/>
      <c r="O583" s="686"/>
      <c r="P583" s="687"/>
      <c r="Q583" s="687"/>
    </row>
    <row r="584" spans="7:17" ht="15.75" customHeight="1">
      <c r="G584" s="684"/>
      <c r="H584" s="685"/>
      <c r="I584" s="686"/>
      <c r="J584" s="687"/>
      <c r="K584" s="687"/>
      <c r="N584" s="685"/>
      <c r="O584" s="686"/>
      <c r="P584" s="687"/>
      <c r="Q584" s="687"/>
    </row>
    <row r="585" spans="7:17" ht="15.75" customHeight="1">
      <c r="G585" s="684"/>
      <c r="H585" s="685"/>
      <c r="I585" s="686"/>
      <c r="J585" s="687"/>
      <c r="K585" s="687"/>
      <c r="N585" s="685"/>
      <c r="O585" s="686"/>
      <c r="P585" s="687"/>
      <c r="Q585" s="687"/>
    </row>
    <row r="586" spans="7:17" ht="15.75" customHeight="1">
      <c r="G586" s="684"/>
      <c r="H586" s="685"/>
      <c r="I586" s="686"/>
      <c r="J586" s="687"/>
      <c r="K586" s="687"/>
      <c r="N586" s="685"/>
      <c r="O586" s="686"/>
      <c r="P586" s="687"/>
      <c r="Q586" s="687"/>
    </row>
    <row r="587" spans="7:17" ht="15.75" customHeight="1">
      <c r="G587" s="684"/>
      <c r="H587" s="685"/>
      <c r="I587" s="686"/>
      <c r="J587" s="687"/>
      <c r="K587" s="687"/>
      <c r="N587" s="685"/>
      <c r="O587" s="686"/>
      <c r="P587" s="687"/>
      <c r="Q587" s="687"/>
    </row>
    <row r="588" spans="7:17" ht="15.75" customHeight="1">
      <c r="G588" s="684"/>
      <c r="H588" s="685"/>
      <c r="I588" s="686"/>
      <c r="J588" s="687"/>
      <c r="K588" s="687"/>
      <c r="N588" s="685"/>
      <c r="O588" s="686"/>
      <c r="P588" s="687"/>
      <c r="Q588" s="687"/>
    </row>
    <row r="589" spans="7:17" ht="15.75" customHeight="1">
      <c r="G589" s="684"/>
      <c r="H589" s="685"/>
      <c r="I589" s="686"/>
      <c r="J589" s="687"/>
      <c r="K589" s="687"/>
      <c r="N589" s="685"/>
      <c r="O589" s="686"/>
      <c r="P589" s="687"/>
      <c r="Q589" s="687"/>
    </row>
    <row r="590" spans="7:17" ht="15.75" customHeight="1">
      <c r="G590" s="684"/>
      <c r="H590" s="685"/>
      <c r="I590" s="686"/>
      <c r="J590" s="687"/>
      <c r="K590" s="687"/>
      <c r="N590" s="685"/>
      <c r="O590" s="686"/>
      <c r="P590" s="687"/>
      <c r="Q590" s="687"/>
    </row>
    <row r="591" spans="7:17" ht="15.75" customHeight="1">
      <c r="G591" s="684"/>
      <c r="H591" s="685"/>
      <c r="I591" s="686"/>
      <c r="J591" s="687"/>
      <c r="K591" s="687"/>
      <c r="N591" s="685"/>
      <c r="O591" s="686"/>
      <c r="P591" s="687"/>
      <c r="Q591" s="687"/>
    </row>
    <row r="592" spans="7:17" ht="15.75" customHeight="1">
      <c r="G592" s="684"/>
      <c r="H592" s="685"/>
      <c r="I592" s="686"/>
      <c r="J592" s="687"/>
      <c r="K592" s="687"/>
      <c r="N592" s="685"/>
      <c r="O592" s="686"/>
      <c r="P592" s="687"/>
      <c r="Q592" s="687"/>
    </row>
    <row r="593" spans="7:17" ht="15.75" customHeight="1">
      <c r="G593" s="684"/>
      <c r="H593" s="685"/>
      <c r="I593" s="686"/>
      <c r="J593" s="687"/>
      <c r="K593" s="687"/>
      <c r="N593" s="685"/>
      <c r="O593" s="686"/>
      <c r="P593" s="687"/>
      <c r="Q593" s="687"/>
    </row>
    <row r="594" spans="7:17" ht="15.75" customHeight="1">
      <c r="G594" s="684"/>
      <c r="H594" s="685"/>
      <c r="I594" s="686"/>
      <c r="J594" s="687"/>
      <c r="K594" s="687"/>
      <c r="N594" s="685"/>
      <c r="O594" s="686"/>
      <c r="P594" s="687"/>
      <c r="Q594" s="687"/>
    </row>
    <row r="595" spans="7:17" ht="15.75" customHeight="1">
      <c r="G595" s="684"/>
      <c r="H595" s="685"/>
      <c r="I595" s="686"/>
      <c r="J595" s="687"/>
      <c r="K595" s="687"/>
      <c r="N595" s="685"/>
      <c r="O595" s="686"/>
      <c r="P595" s="687"/>
      <c r="Q595" s="687"/>
    </row>
    <row r="596" spans="7:17" ht="15.75" customHeight="1">
      <c r="G596" s="684"/>
      <c r="H596" s="685"/>
      <c r="I596" s="686"/>
      <c r="J596" s="687"/>
      <c r="K596" s="687"/>
      <c r="N596" s="685"/>
      <c r="O596" s="686"/>
      <c r="P596" s="687"/>
      <c r="Q596" s="687"/>
    </row>
    <row r="597" spans="7:17" ht="15.75" customHeight="1">
      <c r="G597" s="684"/>
      <c r="H597" s="685"/>
      <c r="I597" s="686"/>
      <c r="J597" s="687"/>
      <c r="K597" s="687"/>
      <c r="N597" s="685"/>
      <c r="O597" s="686"/>
      <c r="P597" s="687"/>
      <c r="Q597" s="687"/>
    </row>
    <row r="598" spans="7:17" ht="15.75" customHeight="1">
      <c r="G598" s="684"/>
      <c r="H598" s="685"/>
      <c r="I598" s="686"/>
      <c r="J598" s="687"/>
      <c r="K598" s="687"/>
      <c r="N598" s="685"/>
      <c r="O598" s="686"/>
      <c r="P598" s="687"/>
      <c r="Q598" s="687"/>
    </row>
    <row r="599" spans="7:17" ht="15.75" customHeight="1">
      <c r="G599" s="684"/>
      <c r="H599" s="685"/>
      <c r="I599" s="686"/>
      <c r="J599" s="687"/>
      <c r="K599" s="687"/>
      <c r="N599" s="685"/>
      <c r="O599" s="686"/>
      <c r="P599" s="687"/>
      <c r="Q599" s="687"/>
    </row>
    <row r="600" spans="7:17" ht="15.75" customHeight="1">
      <c r="G600" s="684"/>
      <c r="H600" s="685"/>
      <c r="I600" s="686"/>
      <c r="J600" s="687"/>
      <c r="K600" s="687"/>
      <c r="N600" s="685"/>
      <c r="O600" s="686"/>
      <c r="P600" s="687"/>
      <c r="Q600" s="687"/>
    </row>
    <row r="601" spans="7:17" ht="15.75" customHeight="1">
      <c r="G601" s="684"/>
      <c r="H601" s="685"/>
      <c r="I601" s="686"/>
      <c r="J601" s="687"/>
      <c r="K601" s="687"/>
      <c r="N601" s="685"/>
      <c r="O601" s="686"/>
      <c r="P601" s="687"/>
      <c r="Q601" s="687"/>
    </row>
    <row r="602" spans="7:17" ht="15.75" customHeight="1">
      <c r="G602" s="684"/>
      <c r="H602" s="685"/>
      <c r="I602" s="686"/>
      <c r="J602" s="687"/>
      <c r="K602" s="687"/>
      <c r="N602" s="685"/>
      <c r="O602" s="686"/>
      <c r="P602" s="687"/>
      <c r="Q602" s="687"/>
    </row>
    <row r="603" spans="7:17" ht="15.75" customHeight="1">
      <c r="G603" s="684"/>
      <c r="H603" s="685"/>
      <c r="I603" s="686"/>
      <c r="J603" s="687"/>
      <c r="K603" s="687"/>
      <c r="N603" s="685"/>
      <c r="O603" s="686"/>
      <c r="P603" s="687"/>
      <c r="Q603" s="687"/>
    </row>
    <row r="604" spans="7:17" ht="15.75" customHeight="1">
      <c r="G604" s="684"/>
      <c r="H604" s="685"/>
      <c r="I604" s="686"/>
      <c r="J604" s="687"/>
      <c r="K604" s="687"/>
      <c r="N604" s="685"/>
      <c r="O604" s="686"/>
      <c r="P604" s="687"/>
      <c r="Q604" s="687"/>
    </row>
    <row r="605" spans="7:17" ht="15.75" customHeight="1">
      <c r="G605" s="684"/>
      <c r="H605" s="685"/>
      <c r="I605" s="686"/>
      <c r="J605" s="687"/>
      <c r="K605" s="687"/>
      <c r="N605" s="685"/>
      <c r="O605" s="686"/>
      <c r="P605" s="687"/>
      <c r="Q605" s="687"/>
    </row>
    <row r="606" spans="7:17" ht="15.75" customHeight="1">
      <c r="G606" s="684"/>
      <c r="H606" s="685"/>
      <c r="I606" s="686"/>
      <c r="J606" s="687"/>
      <c r="K606" s="687"/>
      <c r="N606" s="685"/>
      <c r="O606" s="686"/>
      <c r="P606" s="687"/>
      <c r="Q606" s="687"/>
    </row>
    <row r="607" spans="7:17" ht="15.75" customHeight="1">
      <c r="G607" s="684"/>
      <c r="H607" s="685"/>
      <c r="I607" s="686"/>
      <c r="J607" s="687"/>
      <c r="K607" s="687"/>
      <c r="N607" s="685"/>
      <c r="O607" s="686"/>
      <c r="P607" s="687"/>
      <c r="Q607" s="687"/>
    </row>
    <row r="608" spans="7:17" ht="15.75" customHeight="1">
      <c r="G608" s="684"/>
      <c r="H608" s="685"/>
      <c r="I608" s="686"/>
      <c r="J608" s="687"/>
      <c r="K608" s="687"/>
      <c r="N608" s="685"/>
      <c r="O608" s="686"/>
      <c r="P608" s="687"/>
      <c r="Q608" s="687"/>
    </row>
    <row r="609" spans="7:17" ht="15.75" customHeight="1">
      <c r="G609" s="684"/>
      <c r="H609" s="685"/>
      <c r="I609" s="686"/>
      <c r="J609" s="687"/>
      <c r="K609" s="687"/>
      <c r="N609" s="685"/>
      <c r="O609" s="686"/>
      <c r="P609" s="687"/>
      <c r="Q609" s="687"/>
    </row>
    <row r="610" spans="7:17" ht="15.75" customHeight="1">
      <c r="G610" s="684"/>
      <c r="H610" s="685"/>
      <c r="I610" s="686"/>
      <c r="J610" s="687"/>
      <c r="K610" s="687"/>
      <c r="N610" s="685"/>
      <c r="O610" s="686"/>
      <c r="P610" s="687"/>
      <c r="Q610" s="687"/>
    </row>
    <row r="611" spans="7:17" ht="15.75" customHeight="1">
      <c r="G611" s="684"/>
      <c r="H611" s="685"/>
      <c r="I611" s="686"/>
      <c r="J611" s="687"/>
      <c r="K611" s="687"/>
      <c r="N611" s="685"/>
      <c r="O611" s="686"/>
      <c r="P611" s="687"/>
      <c r="Q611" s="687"/>
    </row>
    <row r="612" spans="7:17" ht="15.75" customHeight="1">
      <c r="G612" s="684"/>
      <c r="H612" s="685"/>
      <c r="I612" s="686"/>
      <c r="J612" s="687"/>
      <c r="K612" s="687"/>
      <c r="N612" s="685"/>
      <c r="O612" s="686"/>
      <c r="P612" s="687"/>
      <c r="Q612" s="687"/>
    </row>
    <row r="613" spans="7:17" ht="15.75" customHeight="1">
      <c r="G613" s="684"/>
      <c r="H613" s="685"/>
      <c r="I613" s="686"/>
      <c r="J613" s="687"/>
      <c r="K613" s="687"/>
      <c r="N613" s="685"/>
      <c r="O613" s="686"/>
      <c r="P613" s="687"/>
      <c r="Q613" s="687"/>
    </row>
    <row r="614" spans="7:17" ht="15.75" customHeight="1">
      <c r="G614" s="684"/>
      <c r="H614" s="685"/>
      <c r="I614" s="686"/>
      <c r="J614" s="687"/>
      <c r="K614" s="687"/>
      <c r="N614" s="685"/>
      <c r="O614" s="686"/>
      <c r="P614" s="687"/>
      <c r="Q614" s="687"/>
    </row>
    <row r="615" spans="7:17" ht="15.75" customHeight="1">
      <c r="G615" s="684"/>
      <c r="H615" s="685"/>
      <c r="I615" s="686"/>
      <c r="J615" s="687"/>
      <c r="K615" s="687"/>
      <c r="N615" s="685"/>
      <c r="O615" s="686"/>
      <c r="P615" s="687"/>
      <c r="Q615" s="687"/>
    </row>
    <row r="616" spans="7:17" ht="15.75" customHeight="1">
      <c r="G616" s="684"/>
      <c r="H616" s="685"/>
      <c r="I616" s="686"/>
      <c r="J616" s="687"/>
      <c r="K616" s="687"/>
      <c r="N616" s="685"/>
      <c r="O616" s="686"/>
      <c r="P616" s="687"/>
      <c r="Q616" s="687"/>
    </row>
    <row r="617" spans="7:17" ht="15.75" customHeight="1">
      <c r="G617" s="684"/>
      <c r="H617" s="685"/>
      <c r="I617" s="686"/>
      <c r="J617" s="687"/>
      <c r="K617" s="687"/>
      <c r="N617" s="685"/>
      <c r="O617" s="686"/>
      <c r="P617" s="687"/>
      <c r="Q617" s="687"/>
    </row>
    <row r="618" spans="7:17" ht="15.75" customHeight="1">
      <c r="G618" s="684"/>
      <c r="H618" s="685"/>
      <c r="I618" s="686"/>
      <c r="J618" s="687"/>
      <c r="K618" s="687"/>
      <c r="N618" s="685"/>
      <c r="O618" s="686"/>
      <c r="P618" s="687"/>
      <c r="Q618" s="687"/>
    </row>
    <row r="619" spans="7:17" ht="15.75" customHeight="1">
      <c r="G619" s="684"/>
      <c r="H619" s="685"/>
      <c r="I619" s="686"/>
      <c r="J619" s="687"/>
      <c r="K619" s="687"/>
      <c r="N619" s="685"/>
      <c r="O619" s="686"/>
      <c r="P619" s="687"/>
      <c r="Q619" s="687"/>
    </row>
    <row r="620" spans="7:17" ht="15.75" customHeight="1">
      <c r="G620" s="684"/>
      <c r="H620" s="685"/>
      <c r="I620" s="686"/>
      <c r="J620" s="687"/>
      <c r="K620" s="687"/>
      <c r="N620" s="685"/>
      <c r="O620" s="686"/>
      <c r="P620" s="687"/>
      <c r="Q620" s="687"/>
    </row>
    <row r="621" spans="7:17" ht="15.75" customHeight="1">
      <c r="G621" s="684"/>
      <c r="H621" s="685"/>
      <c r="I621" s="686"/>
      <c r="J621" s="687"/>
      <c r="K621" s="687"/>
      <c r="N621" s="685"/>
      <c r="O621" s="686"/>
      <c r="P621" s="687"/>
      <c r="Q621" s="687"/>
    </row>
    <row r="622" spans="7:17" ht="15.75" customHeight="1">
      <c r="G622" s="684"/>
      <c r="H622" s="685"/>
      <c r="I622" s="686"/>
      <c r="J622" s="687"/>
      <c r="K622" s="687"/>
      <c r="N622" s="685"/>
      <c r="O622" s="686"/>
      <c r="P622" s="687"/>
      <c r="Q622" s="687"/>
    </row>
    <row r="623" spans="7:17" ht="15.75" customHeight="1">
      <c r="G623" s="684"/>
      <c r="H623" s="685"/>
      <c r="I623" s="686"/>
      <c r="J623" s="687"/>
      <c r="K623" s="687"/>
      <c r="N623" s="685"/>
      <c r="O623" s="686"/>
      <c r="P623" s="687"/>
      <c r="Q623" s="687"/>
    </row>
    <row r="624" spans="7:17" ht="15.75" customHeight="1">
      <c r="G624" s="684"/>
      <c r="H624" s="685"/>
      <c r="I624" s="686"/>
      <c r="J624" s="687"/>
      <c r="K624" s="687"/>
      <c r="N624" s="685"/>
      <c r="O624" s="686"/>
      <c r="P624" s="687"/>
      <c r="Q624" s="687"/>
    </row>
    <row r="625" spans="7:17" ht="15.75" customHeight="1">
      <c r="G625" s="684"/>
      <c r="H625" s="685"/>
      <c r="I625" s="686"/>
      <c r="J625" s="687"/>
      <c r="K625" s="687"/>
      <c r="N625" s="685"/>
      <c r="O625" s="686"/>
      <c r="P625" s="687"/>
      <c r="Q625" s="687"/>
    </row>
    <row r="626" spans="7:17" ht="15.75" customHeight="1">
      <c r="G626" s="684"/>
      <c r="H626" s="685"/>
      <c r="I626" s="686"/>
      <c r="J626" s="687"/>
      <c r="K626" s="687"/>
      <c r="N626" s="685"/>
      <c r="O626" s="686"/>
      <c r="P626" s="687"/>
      <c r="Q626" s="687"/>
    </row>
    <row r="627" spans="7:17" ht="15.75" customHeight="1">
      <c r="G627" s="684"/>
      <c r="H627" s="685"/>
      <c r="I627" s="686"/>
      <c r="J627" s="687"/>
      <c r="K627" s="687"/>
      <c r="N627" s="685"/>
      <c r="O627" s="686"/>
      <c r="P627" s="687"/>
      <c r="Q627" s="687"/>
    </row>
    <row r="628" spans="7:17" ht="15.75" customHeight="1">
      <c r="G628" s="684"/>
      <c r="H628" s="685"/>
      <c r="I628" s="686"/>
      <c r="J628" s="687"/>
      <c r="K628" s="687"/>
      <c r="N628" s="685"/>
      <c r="O628" s="686"/>
      <c r="P628" s="687"/>
      <c r="Q628" s="687"/>
    </row>
    <row r="629" spans="7:17" ht="15.75" customHeight="1">
      <c r="G629" s="684"/>
      <c r="H629" s="685"/>
      <c r="I629" s="686"/>
      <c r="J629" s="687"/>
      <c r="K629" s="687"/>
      <c r="N629" s="685"/>
      <c r="O629" s="686"/>
      <c r="P629" s="687"/>
      <c r="Q629" s="687"/>
    </row>
    <row r="630" spans="7:17" ht="15.75" customHeight="1">
      <c r="G630" s="684"/>
      <c r="H630" s="685"/>
      <c r="I630" s="686"/>
      <c r="J630" s="687"/>
      <c r="K630" s="687"/>
      <c r="N630" s="685"/>
      <c r="O630" s="686"/>
      <c r="P630" s="687"/>
      <c r="Q630" s="687"/>
    </row>
    <row r="631" spans="7:17" ht="15.75" customHeight="1">
      <c r="G631" s="684"/>
      <c r="H631" s="685"/>
      <c r="I631" s="686"/>
      <c r="J631" s="687"/>
      <c r="K631" s="687"/>
      <c r="N631" s="685"/>
      <c r="O631" s="686"/>
      <c r="P631" s="687"/>
      <c r="Q631" s="687"/>
    </row>
    <row r="632" spans="7:17" ht="15.75" customHeight="1">
      <c r="G632" s="684"/>
      <c r="H632" s="685"/>
      <c r="I632" s="686"/>
      <c r="J632" s="687"/>
      <c r="K632" s="687"/>
      <c r="N632" s="685"/>
      <c r="O632" s="686"/>
      <c r="P632" s="687"/>
      <c r="Q632" s="687"/>
    </row>
    <row r="633" spans="7:17" ht="15.75" customHeight="1">
      <c r="G633" s="684"/>
      <c r="H633" s="685"/>
      <c r="I633" s="686"/>
      <c r="J633" s="687"/>
      <c r="K633" s="687"/>
      <c r="N633" s="685"/>
      <c r="O633" s="686"/>
      <c r="P633" s="687"/>
      <c r="Q633" s="687"/>
    </row>
    <row r="634" spans="7:17" ht="15.75" customHeight="1">
      <c r="G634" s="684"/>
      <c r="H634" s="685"/>
      <c r="I634" s="686"/>
      <c r="J634" s="687"/>
      <c r="K634" s="687"/>
      <c r="N634" s="685"/>
      <c r="O634" s="686"/>
      <c r="P634" s="687"/>
      <c r="Q634" s="687"/>
    </row>
    <row r="635" spans="7:17" ht="15.75" customHeight="1">
      <c r="G635" s="684"/>
      <c r="H635" s="685"/>
      <c r="I635" s="686"/>
      <c r="J635" s="687"/>
      <c r="K635" s="687"/>
      <c r="N635" s="685"/>
      <c r="O635" s="686"/>
      <c r="P635" s="687"/>
      <c r="Q635" s="687"/>
    </row>
    <row r="636" spans="7:17" ht="15.75" customHeight="1">
      <c r="G636" s="684"/>
      <c r="H636" s="685"/>
      <c r="I636" s="686"/>
      <c r="J636" s="687"/>
      <c r="K636" s="687"/>
      <c r="N636" s="685"/>
      <c r="O636" s="686"/>
      <c r="P636" s="687"/>
      <c r="Q636" s="687"/>
    </row>
    <row r="637" spans="7:17" ht="15.75" customHeight="1">
      <c r="G637" s="684"/>
      <c r="H637" s="685"/>
      <c r="I637" s="686"/>
      <c r="J637" s="687"/>
      <c r="K637" s="687"/>
      <c r="N637" s="685"/>
      <c r="O637" s="686"/>
      <c r="P637" s="687"/>
      <c r="Q637" s="687"/>
    </row>
    <row r="638" spans="7:17" ht="15.75" customHeight="1">
      <c r="G638" s="684"/>
      <c r="H638" s="685"/>
      <c r="I638" s="686"/>
      <c r="J638" s="687"/>
      <c r="K638" s="687"/>
      <c r="N638" s="685"/>
      <c r="O638" s="686"/>
      <c r="P638" s="687"/>
      <c r="Q638" s="687"/>
    </row>
    <row r="639" spans="7:17" ht="15.75" customHeight="1">
      <c r="G639" s="684"/>
      <c r="H639" s="685"/>
      <c r="I639" s="686"/>
      <c r="J639" s="687"/>
      <c r="K639" s="687"/>
      <c r="N639" s="685"/>
      <c r="O639" s="686"/>
      <c r="P639" s="687"/>
      <c r="Q639" s="687"/>
    </row>
    <row r="640" spans="7:17" ht="15.75" customHeight="1">
      <c r="G640" s="684"/>
      <c r="H640" s="685"/>
      <c r="I640" s="686"/>
      <c r="J640" s="687"/>
      <c r="K640" s="687"/>
      <c r="N640" s="685"/>
      <c r="O640" s="686"/>
      <c r="P640" s="687"/>
      <c r="Q640" s="687"/>
    </row>
    <row r="641" spans="7:17" ht="15.75" customHeight="1">
      <c r="G641" s="684"/>
      <c r="H641" s="685"/>
      <c r="I641" s="686"/>
      <c r="J641" s="687"/>
      <c r="K641" s="687"/>
      <c r="N641" s="685"/>
      <c r="O641" s="686"/>
      <c r="P641" s="687"/>
      <c r="Q641" s="687"/>
    </row>
    <row r="642" spans="7:17" ht="15.75" customHeight="1">
      <c r="G642" s="684"/>
      <c r="H642" s="685"/>
      <c r="I642" s="686"/>
      <c r="J642" s="687"/>
      <c r="K642" s="687"/>
      <c r="N642" s="685"/>
      <c r="O642" s="686"/>
      <c r="P642" s="687"/>
      <c r="Q642" s="687"/>
    </row>
    <row r="643" spans="7:17" ht="15.75" customHeight="1">
      <c r="G643" s="684"/>
      <c r="H643" s="685"/>
      <c r="I643" s="686"/>
      <c r="J643" s="687"/>
      <c r="K643" s="687"/>
      <c r="N643" s="685"/>
      <c r="O643" s="686"/>
      <c r="P643" s="687"/>
      <c r="Q643" s="687"/>
    </row>
    <row r="644" spans="7:17" ht="15.75" customHeight="1">
      <c r="G644" s="684"/>
      <c r="H644" s="685"/>
      <c r="I644" s="686"/>
      <c r="J644" s="687"/>
      <c r="K644" s="687"/>
      <c r="N644" s="685"/>
      <c r="O644" s="686"/>
      <c r="P644" s="687"/>
      <c r="Q644" s="687"/>
    </row>
    <row r="645" spans="7:17" ht="15.75" customHeight="1">
      <c r="G645" s="684"/>
      <c r="H645" s="685"/>
      <c r="I645" s="686"/>
      <c r="J645" s="687"/>
      <c r="K645" s="687"/>
      <c r="N645" s="685"/>
      <c r="O645" s="686"/>
      <c r="P645" s="687"/>
      <c r="Q645" s="687"/>
    </row>
    <row r="646" spans="7:17" ht="15.75" customHeight="1">
      <c r="G646" s="684"/>
      <c r="H646" s="685"/>
      <c r="I646" s="686"/>
      <c r="J646" s="687"/>
      <c r="K646" s="687"/>
      <c r="N646" s="685"/>
      <c r="O646" s="686"/>
      <c r="P646" s="687"/>
      <c r="Q646" s="687"/>
    </row>
    <row r="647" spans="7:17" ht="15.75" customHeight="1">
      <c r="G647" s="684"/>
      <c r="H647" s="685"/>
      <c r="I647" s="686"/>
      <c r="J647" s="687"/>
      <c r="K647" s="687"/>
      <c r="N647" s="685"/>
      <c r="O647" s="686"/>
      <c r="P647" s="687"/>
      <c r="Q647" s="687"/>
    </row>
    <row r="648" spans="7:17" ht="15.75" customHeight="1">
      <c r="G648" s="684"/>
      <c r="H648" s="685"/>
      <c r="I648" s="686"/>
      <c r="J648" s="687"/>
      <c r="K648" s="687"/>
      <c r="N648" s="685"/>
      <c r="O648" s="686"/>
      <c r="P648" s="687"/>
      <c r="Q648" s="687"/>
    </row>
    <row r="649" spans="7:17" ht="15.75" customHeight="1">
      <c r="G649" s="684"/>
      <c r="H649" s="685"/>
      <c r="I649" s="686"/>
      <c r="J649" s="687"/>
      <c r="K649" s="687"/>
      <c r="N649" s="685"/>
      <c r="O649" s="686"/>
      <c r="P649" s="687"/>
      <c r="Q649" s="687"/>
    </row>
    <row r="650" spans="7:17" ht="15.75" customHeight="1">
      <c r="G650" s="684"/>
      <c r="H650" s="685"/>
      <c r="I650" s="686"/>
      <c r="J650" s="687"/>
      <c r="K650" s="687"/>
      <c r="N650" s="685"/>
      <c r="O650" s="686"/>
      <c r="P650" s="687"/>
      <c r="Q650" s="687"/>
    </row>
    <row r="651" spans="7:17" ht="15.75" customHeight="1">
      <c r="G651" s="684"/>
      <c r="H651" s="685"/>
      <c r="I651" s="686"/>
      <c r="J651" s="687"/>
      <c r="K651" s="687"/>
      <c r="N651" s="685"/>
      <c r="O651" s="686"/>
      <c r="P651" s="687"/>
      <c r="Q651" s="687"/>
    </row>
    <row r="652" spans="7:17" ht="15.75" customHeight="1">
      <c r="G652" s="684"/>
      <c r="H652" s="685"/>
      <c r="I652" s="686"/>
      <c r="J652" s="687"/>
      <c r="K652" s="687"/>
      <c r="N652" s="685"/>
      <c r="O652" s="686"/>
      <c r="P652" s="687"/>
      <c r="Q652" s="687"/>
    </row>
    <row r="653" spans="7:17" ht="15.75" customHeight="1">
      <c r="G653" s="684"/>
      <c r="H653" s="685"/>
      <c r="I653" s="686"/>
      <c r="J653" s="687"/>
      <c r="K653" s="687"/>
      <c r="N653" s="685"/>
      <c r="O653" s="686"/>
      <c r="P653" s="687"/>
      <c r="Q653" s="687"/>
    </row>
    <row r="654" spans="7:17" ht="15.75" customHeight="1">
      <c r="G654" s="684"/>
      <c r="H654" s="685"/>
      <c r="I654" s="686"/>
      <c r="J654" s="687"/>
      <c r="K654" s="687"/>
      <c r="N654" s="685"/>
      <c r="O654" s="686"/>
      <c r="P654" s="687"/>
      <c r="Q654" s="687"/>
    </row>
    <row r="655" spans="7:17" ht="15.75" customHeight="1">
      <c r="G655" s="684"/>
      <c r="H655" s="685"/>
      <c r="I655" s="686"/>
      <c r="J655" s="687"/>
      <c r="K655" s="687"/>
      <c r="N655" s="685"/>
      <c r="O655" s="686"/>
      <c r="P655" s="687"/>
      <c r="Q655" s="687"/>
    </row>
    <row r="656" spans="7:17" ht="15.75" customHeight="1">
      <c r="G656" s="684"/>
      <c r="H656" s="685"/>
      <c r="I656" s="686"/>
      <c r="J656" s="687"/>
      <c r="K656" s="687"/>
      <c r="N656" s="685"/>
      <c r="O656" s="686"/>
      <c r="P656" s="687"/>
      <c r="Q656" s="687"/>
    </row>
    <row r="657" spans="7:17" ht="15.75" customHeight="1">
      <c r="G657" s="684"/>
      <c r="H657" s="685"/>
      <c r="I657" s="686"/>
      <c r="J657" s="687"/>
      <c r="K657" s="687"/>
      <c r="N657" s="685"/>
      <c r="O657" s="686"/>
      <c r="P657" s="687"/>
      <c r="Q657" s="687"/>
    </row>
    <row r="658" spans="7:17" ht="15.75" customHeight="1">
      <c r="G658" s="684"/>
      <c r="H658" s="685"/>
      <c r="I658" s="686"/>
      <c r="J658" s="687"/>
      <c r="K658" s="687"/>
      <c r="N658" s="685"/>
      <c r="O658" s="686"/>
      <c r="P658" s="687"/>
      <c r="Q658" s="687"/>
    </row>
    <row r="659" spans="7:17" ht="15.75" customHeight="1">
      <c r="G659" s="684"/>
      <c r="H659" s="685"/>
      <c r="I659" s="686"/>
      <c r="J659" s="687"/>
      <c r="K659" s="687"/>
      <c r="N659" s="685"/>
      <c r="O659" s="686"/>
      <c r="P659" s="687"/>
      <c r="Q659" s="687"/>
    </row>
    <row r="660" spans="7:17" ht="15.75" customHeight="1">
      <c r="G660" s="684"/>
      <c r="H660" s="685"/>
      <c r="I660" s="686"/>
      <c r="J660" s="687"/>
      <c r="K660" s="687"/>
      <c r="N660" s="685"/>
      <c r="O660" s="686"/>
      <c r="P660" s="687"/>
      <c r="Q660" s="687"/>
    </row>
    <row r="661" spans="7:17" ht="15.75" customHeight="1">
      <c r="G661" s="684"/>
      <c r="H661" s="685"/>
      <c r="I661" s="686"/>
      <c r="J661" s="687"/>
      <c r="K661" s="687"/>
      <c r="N661" s="685"/>
      <c r="O661" s="686"/>
      <c r="P661" s="687"/>
      <c r="Q661" s="687"/>
    </row>
    <row r="662" spans="7:17" ht="15.75" customHeight="1">
      <c r="G662" s="684"/>
      <c r="H662" s="685"/>
      <c r="I662" s="686"/>
      <c r="J662" s="687"/>
      <c r="K662" s="687"/>
      <c r="N662" s="685"/>
      <c r="O662" s="686"/>
      <c r="P662" s="687"/>
      <c r="Q662" s="687"/>
    </row>
    <row r="663" spans="7:17" ht="15.75" customHeight="1">
      <c r="G663" s="684"/>
      <c r="H663" s="685"/>
      <c r="I663" s="686"/>
      <c r="J663" s="687"/>
      <c r="K663" s="687"/>
      <c r="N663" s="685"/>
      <c r="O663" s="686"/>
      <c r="P663" s="687"/>
      <c r="Q663" s="687"/>
    </row>
    <row r="664" spans="7:17" ht="15.75" customHeight="1">
      <c r="G664" s="684"/>
      <c r="H664" s="685"/>
      <c r="I664" s="686"/>
      <c r="J664" s="687"/>
      <c r="K664" s="687"/>
      <c r="N664" s="685"/>
      <c r="O664" s="686"/>
      <c r="P664" s="687"/>
      <c r="Q664" s="687"/>
    </row>
    <row r="665" spans="7:17" ht="15.75" customHeight="1">
      <c r="G665" s="684"/>
      <c r="H665" s="685"/>
      <c r="I665" s="686"/>
      <c r="J665" s="687"/>
      <c r="K665" s="687"/>
      <c r="N665" s="685"/>
      <c r="O665" s="686"/>
      <c r="P665" s="687"/>
      <c r="Q665" s="687"/>
    </row>
    <row r="666" spans="7:17" ht="15.75" customHeight="1">
      <c r="G666" s="684"/>
      <c r="H666" s="685"/>
      <c r="I666" s="686"/>
      <c r="J666" s="687"/>
      <c r="K666" s="687"/>
      <c r="N666" s="685"/>
      <c r="O666" s="686"/>
      <c r="P666" s="687"/>
      <c r="Q666" s="687"/>
    </row>
    <row r="667" spans="7:17" ht="15.75" customHeight="1">
      <c r="G667" s="684"/>
      <c r="H667" s="685"/>
      <c r="I667" s="686"/>
      <c r="J667" s="687"/>
      <c r="K667" s="687"/>
      <c r="N667" s="685"/>
      <c r="O667" s="686"/>
      <c r="P667" s="687"/>
      <c r="Q667" s="687"/>
    </row>
    <row r="668" spans="7:17" ht="15.75" customHeight="1">
      <c r="G668" s="684"/>
      <c r="H668" s="685"/>
      <c r="I668" s="686"/>
      <c r="J668" s="687"/>
      <c r="K668" s="687"/>
      <c r="N668" s="685"/>
      <c r="O668" s="686"/>
      <c r="P668" s="687"/>
      <c r="Q668" s="687"/>
    </row>
    <row r="669" spans="7:17" ht="15.75" customHeight="1">
      <c r="G669" s="684"/>
      <c r="H669" s="685"/>
      <c r="I669" s="686"/>
      <c r="J669" s="687"/>
      <c r="K669" s="687"/>
      <c r="N669" s="685"/>
      <c r="O669" s="686"/>
      <c r="P669" s="687"/>
      <c r="Q669" s="687"/>
    </row>
    <row r="670" spans="7:17" ht="15.75" customHeight="1">
      <c r="G670" s="684"/>
      <c r="H670" s="685"/>
      <c r="I670" s="686"/>
      <c r="J670" s="687"/>
      <c r="K670" s="687"/>
      <c r="N670" s="685"/>
      <c r="O670" s="686"/>
      <c r="P670" s="687"/>
      <c r="Q670" s="687"/>
    </row>
    <row r="671" spans="7:17" ht="15.75" customHeight="1">
      <c r="G671" s="684"/>
      <c r="H671" s="685"/>
      <c r="I671" s="686"/>
      <c r="J671" s="687"/>
      <c r="K671" s="687"/>
      <c r="N671" s="685"/>
      <c r="O671" s="686"/>
      <c r="P671" s="687"/>
      <c r="Q671" s="687"/>
    </row>
    <row r="672" spans="7:17" ht="15.75" customHeight="1">
      <c r="G672" s="684"/>
      <c r="H672" s="685"/>
      <c r="I672" s="686"/>
      <c r="J672" s="687"/>
      <c r="K672" s="687"/>
      <c r="N672" s="685"/>
      <c r="O672" s="686"/>
      <c r="P672" s="687"/>
      <c r="Q672" s="687"/>
    </row>
    <row r="673" spans="7:17" ht="15.75" customHeight="1">
      <c r="G673" s="684"/>
      <c r="H673" s="685"/>
      <c r="I673" s="686"/>
      <c r="J673" s="687"/>
      <c r="K673" s="687"/>
      <c r="N673" s="685"/>
      <c r="O673" s="686"/>
      <c r="P673" s="687"/>
      <c r="Q673" s="687"/>
    </row>
    <row r="674" spans="7:17" ht="15.75" customHeight="1">
      <c r="G674" s="684"/>
      <c r="H674" s="685"/>
      <c r="I674" s="686"/>
      <c r="J674" s="687"/>
      <c r="K674" s="687"/>
      <c r="N674" s="685"/>
      <c r="O674" s="686"/>
      <c r="P674" s="687"/>
      <c r="Q674" s="687"/>
    </row>
    <row r="675" spans="7:17" ht="15.75" customHeight="1">
      <c r="G675" s="684"/>
      <c r="H675" s="685"/>
      <c r="I675" s="686"/>
      <c r="J675" s="687"/>
      <c r="K675" s="687"/>
      <c r="N675" s="685"/>
      <c r="O675" s="686"/>
      <c r="P675" s="687"/>
      <c r="Q675" s="687"/>
    </row>
    <row r="676" spans="7:17" ht="15.75" customHeight="1">
      <c r="G676" s="684"/>
      <c r="H676" s="685"/>
      <c r="I676" s="686"/>
      <c r="J676" s="687"/>
      <c r="K676" s="687"/>
      <c r="N676" s="685"/>
      <c r="O676" s="686"/>
      <c r="P676" s="687"/>
      <c r="Q676" s="687"/>
    </row>
    <row r="677" spans="7:17" ht="15.75" customHeight="1">
      <c r="G677" s="684"/>
      <c r="H677" s="685"/>
      <c r="I677" s="686"/>
      <c r="J677" s="687"/>
      <c r="K677" s="687"/>
      <c r="N677" s="685"/>
      <c r="O677" s="686"/>
      <c r="P677" s="687"/>
      <c r="Q677" s="687"/>
    </row>
    <row r="678" spans="7:17" ht="15.75" customHeight="1">
      <c r="G678" s="684"/>
      <c r="H678" s="685"/>
      <c r="I678" s="686"/>
      <c r="J678" s="687"/>
      <c r="K678" s="687"/>
      <c r="N678" s="685"/>
      <c r="O678" s="686"/>
      <c r="P678" s="687"/>
      <c r="Q678" s="687"/>
    </row>
    <row r="679" spans="7:17" ht="15.75" customHeight="1">
      <c r="G679" s="684"/>
      <c r="H679" s="685"/>
      <c r="I679" s="686"/>
      <c r="J679" s="687"/>
      <c r="K679" s="687"/>
      <c r="N679" s="685"/>
      <c r="O679" s="686"/>
      <c r="P679" s="687"/>
      <c r="Q679" s="687"/>
    </row>
    <row r="680" spans="7:17" ht="15.75" customHeight="1">
      <c r="G680" s="684"/>
      <c r="H680" s="685"/>
      <c r="I680" s="686"/>
      <c r="J680" s="687"/>
      <c r="K680" s="687"/>
      <c r="N680" s="685"/>
      <c r="O680" s="686"/>
      <c r="P680" s="687"/>
      <c r="Q680" s="687"/>
    </row>
    <row r="681" spans="7:17" ht="15.75" customHeight="1">
      <c r="G681" s="684"/>
      <c r="H681" s="685"/>
      <c r="I681" s="686"/>
      <c r="J681" s="687"/>
      <c r="K681" s="687"/>
      <c r="N681" s="685"/>
      <c r="O681" s="686"/>
      <c r="P681" s="687"/>
      <c r="Q681" s="687"/>
    </row>
    <row r="682" spans="7:17" ht="15.75" customHeight="1">
      <c r="G682" s="684"/>
      <c r="H682" s="685"/>
      <c r="I682" s="686"/>
      <c r="J682" s="687"/>
      <c r="K682" s="687"/>
      <c r="N682" s="685"/>
      <c r="O682" s="686"/>
      <c r="P682" s="687"/>
      <c r="Q682" s="687"/>
    </row>
    <row r="683" spans="7:17" ht="15.75" customHeight="1">
      <c r="G683" s="684"/>
      <c r="H683" s="685"/>
      <c r="I683" s="686"/>
      <c r="J683" s="687"/>
      <c r="K683" s="687"/>
      <c r="N683" s="685"/>
      <c r="O683" s="686"/>
      <c r="P683" s="687"/>
      <c r="Q683" s="687"/>
    </row>
    <row r="684" spans="7:17" ht="15.75" customHeight="1">
      <c r="G684" s="684"/>
      <c r="H684" s="685"/>
      <c r="I684" s="686"/>
      <c r="J684" s="687"/>
      <c r="K684" s="687"/>
      <c r="N684" s="685"/>
      <c r="O684" s="686"/>
      <c r="P684" s="687"/>
      <c r="Q684" s="687"/>
    </row>
    <row r="685" spans="7:17" ht="15.75" customHeight="1">
      <c r="G685" s="684"/>
      <c r="H685" s="685"/>
      <c r="I685" s="686"/>
      <c r="J685" s="687"/>
      <c r="K685" s="687"/>
      <c r="N685" s="685"/>
      <c r="O685" s="686"/>
      <c r="P685" s="687"/>
      <c r="Q685" s="687"/>
    </row>
    <row r="686" spans="7:17" ht="15.75" customHeight="1">
      <c r="G686" s="684"/>
      <c r="H686" s="685"/>
      <c r="I686" s="686"/>
      <c r="J686" s="687"/>
      <c r="K686" s="687"/>
      <c r="N686" s="685"/>
      <c r="O686" s="686"/>
      <c r="P686" s="687"/>
      <c r="Q686" s="687"/>
    </row>
    <row r="687" spans="7:17" ht="15.75" customHeight="1">
      <c r="G687" s="684"/>
      <c r="H687" s="685"/>
      <c r="I687" s="686"/>
      <c r="J687" s="687"/>
      <c r="K687" s="687"/>
      <c r="N687" s="685"/>
      <c r="O687" s="686"/>
      <c r="P687" s="687"/>
      <c r="Q687" s="687"/>
    </row>
    <row r="688" spans="7:17" ht="15.75" customHeight="1">
      <c r="G688" s="684"/>
      <c r="H688" s="685"/>
      <c r="I688" s="686"/>
      <c r="J688" s="687"/>
      <c r="K688" s="687"/>
      <c r="N688" s="685"/>
      <c r="O688" s="686"/>
      <c r="P688" s="687"/>
      <c r="Q688" s="687"/>
    </row>
    <row r="689" spans="7:17" ht="15.75" customHeight="1">
      <c r="G689" s="684"/>
      <c r="H689" s="685"/>
      <c r="I689" s="686"/>
      <c r="J689" s="687"/>
      <c r="K689" s="687"/>
      <c r="N689" s="685"/>
      <c r="O689" s="686"/>
      <c r="P689" s="687"/>
      <c r="Q689" s="687"/>
    </row>
    <row r="690" spans="7:17" ht="15.75" customHeight="1">
      <c r="G690" s="684"/>
      <c r="H690" s="685"/>
      <c r="I690" s="686"/>
      <c r="J690" s="687"/>
      <c r="K690" s="687"/>
      <c r="N690" s="685"/>
      <c r="O690" s="686"/>
      <c r="P690" s="687"/>
      <c r="Q690" s="687"/>
    </row>
    <row r="691" spans="7:17" ht="15.75" customHeight="1">
      <c r="G691" s="684"/>
      <c r="H691" s="685"/>
      <c r="I691" s="686"/>
      <c r="J691" s="687"/>
      <c r="K691" s="687"/>
      <c r="N691" s="685"/>
      <c r="O691" s="686"/>
      <c r="P691" s="687"/>
      <c r="Q691" s="687"/>
    </row>
    <row r="692" spans="7:17" ht="15.75" customHeight="1">
      <c r="G692" s="684"/>
      <c r="H692" s="685"/>
      <c r="I692" s="686"/>
      <c r="J692" s="687"/>
      <c r="K692" s="687"/>
      <c r="N692" s="685"/>
      <c r="O692" s="686"/>
      <c r="P692" s="687"/>
      <c r="Q692" s="687"/>
    </row>
    <row r="693" spans="7:17" ht="15.75" customHeight="1">
      <c r="G693" s="684"/>
      <c r="H693" s="685"/>
      <c r="I693" s="686"/>
      <c r="J693" s="687"/>
      <c r="K693" s="687"/>
      <c r="N693" s="685"/>
      <c r="O693" s="686"/>
      <c r="P693" s="687"/>
      <c r="Q693" s="687"/>
    </row>
    <row r="694" spans="7:17" ht="15.75" customHeight="1">
      <c r="G694" s="684"/>
      <c r="H694" s="685"/>
      <c r="I694" s="686"/>
      <c r="J694" s="687"/>
      <c r="K694" s="687"/>
      <c r="N694" s="685"/>
      <c r="O694" s="686"/>
      <c r="P694" s="687"/>
      <c r="Q694" s="687"/>
    </row>
    <row r="695" spans="7:17" ht="15.75" customHeight="1">
      <c r="G695" s="684"/>
      <c r="H695" s="685"/>
      <c r="I695" s="686"/>
      <c r="J695" s="687"/>
      <c r="K695" s="687"/>
      <c r="N695" s="685"/>
      <c r="O695" s="686"/>
      <c r="P695" s="687"/>
      <c r="Q695" s="687"/>
    </row>
    <row r="696" spans="7:17" ht="15.75" customHeight="1">
      <c r="G696" s="684"/>
      <c r="H696" s="685"/>
      <c r="I696" s="686"/>
      <c r="J696" s="687"/>
      <c r="K696" s="687"/>
      <c r="N696" s="685"/>
      <c r="O696" s="686"/>
      <c r="P696" s="687"/>
      <c r="Q696" s="687"/>
    </row>
    <row r="697" spans="7:17" ht="15.75" customHeight="1">
      <c r="G697" s="684"/>
      <c r="H697" s="685"/>
      <c r="I697" s="686"/>
      <c r="J697" s="687"/>
      <c r="K697" s="687"/>
      <c r="N697" s="685"/>
      <c r="O697" s="686"/>
      <c r="P697" s="687"/>
      <c r="Q697" s="687"/>
    </row>
    <row r="698" spans="7:17" ht="15.75" customHeight="1">
      <c r="G698" s="684"/>
      <c r="H698" s="685"/>
      <c r="I698" s="686"/>
      <c r="J698" s="687"/>
      <c r="K698" s="687"/>
      <c r="N698" s="685"/>
      <c r="O698" s="686"/>
      <c r="P698" s="687"/>
      <c r="Q698" s="687"/>
    </row>
    <row r="699" spans="7:17" ht="15.75" customHeight="1">
      <c r="G699" s="684"/>
      <c r="H699" s="685"/>
      <c r="I699" s="686"/>
      <c r="J699" s="687"/>
      <c r="K699" s="687"/>
      <c r="N699" s="685"/>
      <c r="O699" s="686"/>
      <c r="P699" s="687"/>
      <c r="Q699" s="687"/>
    </row>
    <row r="700" spans="7:17" ht="15.75" customHeight="1">
      <c r="G700" s="684"/>
      <c r="H700" s="685"/>
      <c r="I700" s="686"/>
      <c r="J700" s="687"/>
      <c r="K700" s="687"/>
      <c r="N700" s="685"/>
      <c r="O700" s="686"/>
      <c r="P700" s="687"/>
      <c r="Q700" s="687"/>
    </row>
    <row r="701" spans="7:17" ht="15.75" customHeight="1">
      <c r="G701" s="684"/>
      <c r="H701" s="685"/>
      <c r="I701" s="686"/>
      <c r="J701" s="687"/>
      <c r="K701" s="687"/>
      <c r="N701" s="685"/>
      <c r="O701" s="686"/>
      <c r="P701" s="687"/>
      <c r="Q701" s="687"/>
    </row>
    <row r="702" spans="7:17" ht="15.75" customHeight="1">
      <c r="G702" s="684"/>
      <c r="H702" s="685"/>
      <c r="I702" s="686"/>
      <c r="J702" s="687"/>
      <c r="K702" s="687"/>
      <c r="N702" s="685"/>
      <c r="O702" s="686"/>
      <c r="P702" s="687"/>
      <c r="Q702" s="687"/>
    </row>
    <row r="703" spans="7:17" ht="15.75" customHeight="1">
      <c r="G703" s="684"/>
      <c r="H703" s="685"/>
      <c r="I703" s="686"/>
      <c r="J703" s="687"/>
      <c r="K703" s="687"/>
      <c r="N703" s="685"/>
      <c r="O703" s="686"/>
      <c r="P703" s="687"/>
      <c r="Q703" s="687"/>
    </row>
    <row r="704" spans="7:17" ht="15.75" customHeight="1">
      <c r="G704" s="684"/>
      <c r="H704" s="685"/>
      <c r="I704" s="686"/>
      <c r="J704" s="687"/>
      <c r="K704" s="687"/>
      <c r="N704" s="685"/>
      <c r="O704" s="686"/>
      <c r="P704" s="687"/>
      <c r="Q704" s="687"/>
    </row>
    <row r="705" spans="7:17" ht="15.75" customHeight="1">
      <c r="G705" s="684"/>
      <c r="H705" s="685"/>
      <c r="I705" s="686"/>
      <c r="J705" s="687"/>
      <c r="K705" s="687"/>
      <c r="N705" s="685"/>
      <c r="O705" s="686"/>
      <c r="P705" s="687"/>
      <c r="Q705" s="687"/>
    </row>
    <row r="706" spans="7:17" ht="15.75" customHeight="1">
      <c r="G706" s="684"/>
      <c r="H706" s="685"/>
      <c r="I706" s="686"/>
      <c r="J706" s="687"/>
      <c r="K706" s="687"/>
      <c r="N706" s="685"/>
      <c r="O706" s="686"/>
      <c r="P706" s="687"/>
      <c r="Q706" s="687"/>
    </row>
    <row r="707" spans="7:17" ht="15.75" customHeight="1">
      <c r="G707" s="684"/>
      <c r="H707" s="685"/>
      <c r="I707" s="686"/>
      <c r="J707" s="687"/>
      <c r="K707" s="687"/>
      <c r="N707" s="685"/>
      <c r="O707" s="686"/>
      <c r="P707" s="687"/>
      <c r="Q707" s="687"/>
    </row>
    <row r="708" spans="7:17" ht="15.75" customHeight="1">
      <c r="G708" s="684"/>
      <c r="H708" s="685"/>
      <c r="I708" s="686"/>
      <c r="J708" s="687"/>
      <c r="K708" s="687"/>
      <c r="N708" s="685"/>
      <c r="O708" s="686"/>
      <c r="P708" s="687"/>
      <c r="Q708" s="687"/>
    </row>
    <row r="709" spans="7:17" ht="15.75" customHeight="1">
      <c r="G709" s="684"/>
      <c r="H709" s="685"/>
      <c r="I709" s="686"/>
      <c r="J709" s="687"/>
      <c r="K709" s="687"/>
      <c r="N709" s="685"/>
      <c r="O709" s="686"/>
      <c r="P709" s="687"/>
      <c r="Q709" s="687"/>
    </row>
    <row r="710" spans="7:17" ht="15.75" customHeight="1">
      <c r="G710" s="684"/>
      <c r="H710" s="685"/>
      <c r="I710" s="686"/>
      <c r="J710" s="687"/>
      <c r="K710" s="687"/>
      <c r="N710" s="685"/>
      <c r="O710" s="686"/>
      <c r="P710" s="687"/>
      <c r="Q710" s="687"/>
    </row>
    <row r="711" spans="7:17" ht="15.75" customHeight="1">
      <c r="G711" s="684"/>
      <c r="H711" s="685"/>
      <c r="I711" s="686"/>
      <c r="J711" s="687"/>
      <c r="K711" s="687"/>
      <c r="N711" s="685"/>
      <c r="O711" s="686"/>
      <c r="P711" s="687"/>
      <c r="Q711" s="687"/>
    </row>
    <row r="712" spans="7:17" ht="15.75" customHeight="1">
      <c r="G712" s="684"/>
      <c r="H712" s="685"/>
      <c r="I712" s="686"/>
      <c r="J712" s="687"/>
      <c r="K712" s="687"/>
      <c r="N712" s="685"/>
      <c r="O712" s="686"/>
      <c r="P712" s="687"/>
      <c r="Q712" s="687"/>
    </row>
    <row r="713" spans="7:17" ht="15.75" customHeight="1">
      <c r="G713" s="684"/>
      <c r="H713" s="685"/>
      <c r="I713" s="686"/>
      <c r="J713" s="687"/>
      <c r="K713" s="687"/>
      <c r="N713" s="685"/>
      <c r="O713" s="686"/>
      <c r="P713" s="687"/>
      <c r="Q713" s="687"/>
    </row>
    <row r="714" spans="7:17" ht="15.75" customHeight="1">
      <c r="G714" s="684"/>
      <c r="H714" s="685"/>
      <c r="I714" s="686"/>
      <c r="J714" s="687"/>
      <c r="K714" s="687"/>
      <c r="N714" s="685"/>
      <c r="O714" s="686"/>
      <c r="P714" s="687"/>
      <c r="Q714" s="687"/>
    </row>
    <row r="715" spans="7:17" ht="15.75" customHeight="1">
      <c r="G715" s="684"/>
      <c r="H715" s="685"/>
      <c r="I715" s="686"/>
      <c r="J715" s="687"/>
      <c r="K715" s="687"/>
      <c r="N715" s="685"/>
      <c r="O715" s="686"/>
      <c r="P715" s="687"/>
      <c r="Q715" s="687"/>
    </row>
    <row r="716" spans="7:17" ht="15.75" customHeight="1">
      <c r="G716" s="684"/>
      <c r="H716" s="685"/>
      <c r="I716" s="686"/>
      <c r="J716" s="687"/>
      <c r="K716" s="687"/>
      <c r="N716" s="685"/>
      <c r="O716" s="686"/>
      <c r="P716" s="687"/>
      <c r="Q716" s="687"/>
    </row>
    <row r="717" spans="7:17" ht="15.75" customHeight="1">
      <c r="G717" s="684"/>
      <c r="H717" s="685"/>
      <c r="I717" s="686"/>
      <c r="J717" s="687"/>
      <c r="K717" s="687"/>
      <c r="N717" s="685"/>
      <c r="O717" s="686"/>
      <c r="P717" s="687"/>
      <c r="Q717" s="687"/>
    </row>
    <row r="718" spans="7:17" ht="15.75" customHeight="1">
      <c r="G718" s="684"/>
      <c r="H718" s="685"/>
      <c r="I718" s="686"/>
      <c r="J718" s="687"/>
      <c r="K718" s="687"/>
      <c r="N718" s="685"/>
      <c r="O718" s="686"/>
      <c r="P718" s="687"/>
      <c r="Q718" s="687"/>
    </row>
    <row r="719" spans="7:17" ht="15.75" customHeight="1">
      <c r="G719" s="684"/>
      <c r="H719" s="685"/>
      <c r="I719" s="686"/>
      <c r="J719" s="687"/>
      <c r="K719" s="687"/>
      <c r="N719" s="685"/>
      <c r="O719" s="686"/>
      <c r="P719" s="687"/>
      <c r="Q719" s="687"/>
    </row>
    <row r="720" spans="7:17" ht="15.75" customHeight="1">
      <c r="G720" s="684"/>
      <c r="H720" s="685"/>
      <c r="I720" s="686"/>
      <c r="J720" s="687"/>
      <c r="K720" s="687"/>
      <c r="N720" s="685"/>
      <c r="O720" s="686"/>
      <c r="P720" s="687"/>
      <c r="Q720" s="687"/>
    </row>
    <row r="721" spans="7:17" ht="15.75" customHeight="1">
      <c r="G721" s="684"/>
      <c r="H721" s="685"/>
      <c r="I721" s="686"/>
      <c r="J721" s="687"/>
      <c r="K721" s="687"/>
      <c r="N721" s="685"/>
      <c r="O721" s="686"/>
      <c r="P721" s="687"/>
      <c r="Q721" s="687"/>
    </row>
    <row r="722" spans="7:17" ht="15.75" customHeight="1">
      <c r="G722" s="684"/>
      <c r="H722" s="685"/>
      <c r="I722" s="686"/>
      <c r="J722" s="687"/>
      <c r="K722" s="687"/>
      <c r="N722" s="685"/>
      <c r="O722" s="686"/>
      <c r="P722" s="687"/>
      <c r="Q722" s="687"/>
    </row>
    <row r="723" spans="7:17" ht="15.75" customHeight="1">
      <c r="G723" s="684"/>
      <c r="H723" s="685"/>
      <c r="I723" s="686"/>
      <c r="J723" s="687"/>
      <c r="K723" s="687"/>
      <c r="N723" s="685"/>
      <c r="O723" s="686"/>
      <c r="P723" s="687"/>
      <c r="Q723" s="687"/>
    </row>
    <row r="724" spans="7:17" ht="15.75" customHeight="1">
      <c r="G724" s="684"/>
      <c r="H724" s="685"/>
      <c r="I724" s="686"/>
      <c r="J724" s="687"/>
      <c r="K724" s="687"/>
      <c r="N724" s="685"/>
      <c r="O724" s="686"/>
      <c r="P724" s="687"/>
      <c r="Q724" s="687"/>
    </row>
    <row r="725" spans="7:17" ht="15.75" customHeight="1">
      <c r="G725" s="684"/>
      <c r="H725" s="685"/>
      <c r="I725" s="686"/>
      <c r="J725" s="687"/>
      <c r="K725" s="687"/>
      <c r="N725" s="685"/>
      <c r="O725" s="686"/>
      <c r="P725" s="687"/>
      <c r="Q725" s="687"/>
    </row>
    <row r="726" spans="7:17" ht="15.75" customHeight="1">
      <c r="G726" s="684"/>
      <c r="H726" s="685"/>
      <c r="I726" s="686"/>
      <c r="J726" s="687"/>
      <c r="K726" s="687"/>
      <c r="N726" s="685"/>
      <c r="O726" s="686"/>
      <c r="P726" s="687"/>
      <c r="Q726" s="687"/>
    </row>
    <row r="727" spans="7:17" ht="15.75" customHeight="1">
      <c r="G727" s="684"/>
      <c r="H727" s="685"/>
      <c r="I727" s="686"/>
      <c r="J727" s="687"/>
      <c r="K727" s="687"/>
      <c r="N727" s="685"/>
      <c r="O727" s="686"/>
      <c r="P727" s="687"/>
      <c r="Q727" s="687"/>
    </row>
    <row r="728" spans="7:17" ht="15.75" customHeight="1">
      <c r="G728" s="684"/>
      <c r="H728" s="685"/>
      <c r="I728" s="686"/>
      <c r="J728" s="687"/>
      <c r="K728" s="687"/>
      <c r="N728" s="685"/>
      <c r="O728" s="686"/>
      <c r="P728" s="687"/>
      <c r="Q728" s="687"/>
    </row>
    <row r="729" spans="7:17" ht="15.75" customHeight="1">
      <c r="G729" s="684"/>
      <c r="H729" s="685"/>
      <c r="I729" s="686"/>
      <c r="J729" s="687"/>
      <c r="K729" s="687"/>
      <c r="N729" s="685"/>
      <c r="O729" s="686"/>
      <c r="P729" s="687"/>
      <c r="Q729" s="687"/>
    </row>
    <row r="730" spans="7:17" ht="15.75" customHeight="1">
      <c r="G730" s="684"/>
      <c r="H730" s="685"/>
      <c r="I730" s="686"/>
      <c r="J730" s="687"/>
      <c r="K730" s="687"/>
      <c r="N730" s="685"/>
      <c r="O730" s="686"/>
      <c r="P730" s="687"/>
      <c r="Q730" s="687"/>
    </row>
    <row r="731" spans="7:17" ht="15.75" customHeight="1">
      <c r="G731" s="684"/>
      <c r="H731" s="685"/>
      <c r="I731" s="686"/>
      <c r="J731" s="687"/>
      <c r="K731" s="687"/>
      <c r="N731" s="685"/>
      <c r="O731" s="686"/>
      <c r="P731" s="687"/>
      <c r="Q731" s="687"/>
    </row>
    <row r="732" spans="7:17" ht="15.75" customHeight="1">
      <c r="G732" s="684"/>
      <c r="H732" s="685"/>
      <c r="I732" s="686"/>
      <c r="J732" s="687"/>
      <c r="K732" s="687"/>
      <c r="N732" s="685"/>
      <c r="O732" s="686"/>
      <c r="P732" s="687"/>
      <c r="Q732" s="687"/>
    </row>
    <row r="733" spans="7:17" ht="15.75" customHeight="1">
      <c r="G733" s="684"/>
      <c r="H733" s="685"/>
      <c r="I733" s="686"/>
      <c r="J733" s="687"/>
      <c r="K733" s="687"/>
      <c r="N733" s="685"/>
      <c r="O733" s="686"/>
      <c r="P733" s="687"/>
      <c r="Q733" s="687"/>
    </row>
    <row r="734" spans="7:17" ht="15.75" customHeight="1">
      <c r="G734" s="684"/>
      <c r="H734" s="685"/>
      <c r="I734" s="686"/>
      <c r="J734" s="687"/>
      <c r="K734" s="687"/>
      <c r="N734" s="685"/>
      <c r="O734" s="686"/>
      <c r="P734" s="687"/>
      <c r="Q734" s="687"/>
    </row>
    <row r="735" spans="7:17" ht="15.75" customHeight="1">
      <c r="G735" s="684"/>
      <c r="H735" s="685"/>
      <c r="I735" s="686"/>
      <c r="J735" s="687"/>
      <c r="K735" s="687"/>
      <c r="N735" s="685"/>
      <c r="O735" s="686"/>
      <c r="P735" s="687"/>
      <c r="Q735" s="687"/>
    </row>
    <row r="736" spans="7:17" ht="15.75" customHeight="1">
      <c r="G736" s="684"/>
      <c r="H736" s="685"/>
      <c r="I736" s="686"/>
      <c r="J736" s="687"/>
      <c r="K736" s="687"/>
      <c r="N736" s="685"/>
      <c r="O736" s="686"/>
      <c r="P736" s="687"/>
      <c r="Q736" s="687"/>
    </row>
    <row r="737" spans="7:17" ht="15.75" customHeight="1">
      <c r="G737" s="684"/>
      <c r="H737" s="685"/>
      <c r="I737" s="686"/>
      <c r="J737" s="687"/>
      <c r="K737" s="687"/>
      <c r="N737" s="685"/>
      <c r="O737" s="686"/>
      <c r="P737" s="687"/>
      <c r="Q737" s="687"/>
    </row>
    <row r="738" spans="7:17" ht="15.75" customHeight="1">
      <c r="G738" s="684"/>
      <c r="H738" s="685"/>
      <c r="I738" s="686"/>
      <c r="J738" s="687"/>
      <c r="K738" s="687"/>
      <c r="N738" s="685"/>
      <c r="O738" s="686"/>
      <c r="P738" s="687"/>
      <c r="Q738" s="687"/>
    </row>
    <row r="739" spans="7:17" ht="15.75" customHeight="1">
      <c r="G739" s="684"/>
      <c r="H739" s="685"/>
      <c r="I739" s="686"/>
      <c r="J739" s="687"/>
      <c r="K739" s="687"/>
      <c r="N739" s="685"/>
      <c r="O739" s="686"/>
      <c r="P739" s="687"/>
      <c r="Q739" s="687"/>
    </row>
    <row r="740" spans="7:17" ht="15.75" customHeight="1">
      <c r="G740" s="684"/>
      <c r="H740" s="685"/>
      <c r="I740" s="686"/>
      <c r="J740" s="687"/>
      <c r="K740" s="687"/>
      <c r="N740" s="685"/>
      <c r="O740" s="686"/>
      <c r="P740" s="687"/>
      <c r="Q740" s="687"/>
    </row>
    <row r="741" spans="7:17" ht="15.75" customHeight="1">
      <c r="G741" s="684"/>
      <c r="H741" s="685"/>
      <c r="I741" s="686"/>
      <c r="J741" s="687"/>
      <c r="K741" s="687"/>
      <c r="N741" s="685"/>
      <c r="O741" s="686"/>
      <c r="P741" s="687"/>
      <c r="Q741" s="687"/>
    </row>
    <row r="742" spans="7:17" ht="15.75" customHeight="1">
      <c r="G742" s="684"/>
      <c r="H742" s="685"/>
      <c r="I742" s="686"/>
      <c r="J742" s="687"/>
      <c r="K742" s="687"/>
      <c r="N742" s="685"/>
      <c r="O742" s="686"/>
      <c r="P742" s="687"/>
      <c r="Q742" s="687"/>
    </row>
    <row r="743" spans="7:17" ht="15.75" customHeight="1">
      <c r="G743" s="684"/>
      <c r="H743" s="685"/>
      <c r="I743" s="686"/>
      <c r="J743" s="687"/>
      <c r="K743" s="687"/>
      <c r="N743" s="685"/>
      <c r="O743" s="686"/>
      <c r="P743" s="687"/>
      <c r="Q743" s="687"/>
    </row>
    <row r="744" spans="7:17" ht="15.75" customHeight="1">
      <c r="G744" s="684"/>
      <c r="H744" s="685"/>
      <c r="I744" s="686"/>
      <c r="J744" s="687"/>
      <c r="K744" s="687"/>
      <c r="N744" s="685"/>
      <c r="O744" s="686"/>
      <c r="P744" s="687"/>
      <c r="Q744" s="687"/>
    </row>
    <row r="745" spans="7:17" ht="15.75" customHeight="1">
      <c r="G745" s="684"/>
      <c r="H745" s="685"/>
      <c r="I745" s="686"/>
      <c r="J745" s="687"/>
      <c r="K745" s="687"/>
      <c r="N745" s="685"/>
      <c r="O745" s="686"/>
      <c r="P745" s="687"/>
      <c r="Q745" s="687"/>
    </row>
    <row r="746" spans="7:17" ht="15.75" customHeight="1">
      <c r="G746" s="684"/>
      <c r="H746" s="685"/>
      <c r="I746" s="686"/>
      <c r="J746" s="687"/>
      <c r="K746" s="687"/>
      <c r="N746" s="685"/>
      <c r="O746" s="686"/>
      <c r="P746" s="687"/>
      <c r="Q746" s="687"/>
    </row>
    <row r="747" spans="7:17" ht="15.75" customHeight="1">
      <c r="G747" s="684"/>
      <c r="H747" s="685"/>
      <c r="I747" s="686"/>
      <c r="J747" s="687"/>
      <c r="K747" s="687"/>
      <c r="N747" s="685"/>
      <c r="O747" s="686"/>
      <c r="P747" s="687"/>
      <c r="Q747" s="687"/>
    </row>
    <row r="748" spans="7:17" ht="15.75" customHeight="1">
      <c r="G748" s="684"/>
      <c r="H748" s="685"/>
      <c r="I748" s="686"/>
      <c r="J748" s="687"/>
      <c r="K748" s="687"/>
      <c r="N748" s="685"/>
      <c r="O748" s="686"/>
      <c r="P748" s="687"/>
      <c r="Q748" s="687"/>
    </row>
    <row r="749" spans="7:17" ht="15.75" customHeight="1">
      <c r="G749" s="684"/>
      <c r="H749" s="685"/>
      <c r="I749" s="686"/>
      <c r="J749" s="687"/>
      <c r="K749" s="687"/>
      <c r="N749" s="685"/>
      <c r="O749" s="686"/>
      <c r="P749" s="687"/>
      <c r="Q749" s="687"/>
    </row>
    <row r="750" spans="7:17" ht="15.75" customHeight="1">
      <c r="G750" s="684"/>
      <c r="H750" s="685"/>
      <c r="I750" s="686"/>
      <c r="J750" s="687"/>
      <c r="K750" s="687"/>
      <c r="N750" s="685"/>
      <c r="O750" s="686"/>
      <c r="P750" s="687"/>
      <c r="Q750" s="687"/>
    </row>
    <row r="751" spans="7:17" ht="15.75" customHeight="1">
      <c r="G751" s="684"/>
      <c r="H751" s="685"/>
      <c r="I751" s="686"/>
      <c r="J751" s="687"/>
      <c r="K751" s="687"/>
      <c r="N751" s="685"/>
      <c r="O751" s="686"/>
      <c r="P751" s="687"/>
      <c r="Q751" s="687"/>
    </row>
    <row r="752" spans="7:17" ht="15.75" customHeight="1">
      <c r="G752" s="684"/>
      <c r="H752" s="685"/>
      <c r="I752" s="686"/>
      <c r="J752" s="687"/>
      <c r="K752" s="687"/>
      <c r="N752" s="685"/>
      <c r="O752" s="686"/>
      <c r="P752" s="687"/>
      <c r="Q752" s="687"/>
    </row>
    <row r="753" spans="7:17" ht="15.75" customHeight="1">
      <c r="G753" s="684"/>
      <c r="H753" s="685"/>
      <c r="I753" s="686"/>
      <c r="J753" s="687"/>
      <c r="K753" s="687"/>
      <c r="N753" s="685"/>
      <c r="O753" s="686"/>
      <c r="P753" s="687"/>
      <c r="Q753" s="687"/>
    </row>
    <row r="754" spans="7:17" ht="15.75" customHeight="1">
      <c r="G754" s="684"/>
      <c r="H754" s="685"/>
      <c r="I754" s="686"/>
      <c r="J754" s="687"/>
      <c r="K754" s="687"/>
      <c r="N754" s="685"/>
      <c r="O754" s="686"/>
      <c r="P754" s="687"/>
      <c r="Q754" s="687"/>
    </row>
    <row r="755" spans="7:17" ht="15.75" customHeight="1">
      <c r="G755" s="684"/>
      <c r="H755" s="685"/>
      <c r="I755" s="686"/>
      <c r="J755" s="687"/>
      <c r="K755" s="687"/>
      <c r="N755" s="685"/>
      <c r="O755" s="686"/>
      <c r="P755" s="687"/>
      <c r="Q755" s="687"/>
    </row>
    <row r="756" spans="7:17" ht="15.75" customHeight="1">
      <c r="G756" s="684"/>
      <c r="H756" s="685"/>
      <c r="I756" s="686"/>
      <c r="J756" s="687"/>
      <c r="K756" s="687"/>
      <c r="N756" s="685"/>
      <c r="O756" s="686"/>
      <c r="P756" s="687"/>
      <c r="Q756" s="687"/>
    </row>
    <row r="757" spans="7:17" ht="15.75" customHeight="1">
      <c r="G757" s="684"/>
      <c r="H757" s="685"/>
      <c r="I757" s="686"/>
      <c r="J757" s="687"/>
      <c r="K757" s="687"/>
      <c r="N757" s="685"/>
      <c r="O757" s="686"/>
      <c r="P757" s="687"/>
      <c r="Q757" s="687"/>
    </row>
    <row r="758" spans="7:17" ht="15.75" customHeight="1">
      <c r="G758" s="684"/>
      <c r="H758" s="685"/>
      <c r="I758" s="686"/>
      <c r="J758" s="687"/>
      <c r="K758" s="687"/>
      <c r="N758" s="685"/>
      <c r="O758" s="686"/>
      <c r="P758" s="687"/>
      <c r="Q758" s="687"/>
    </row>
    <row r="759" spans="7:17" ht="15.75" customHeight="1">
      <c r="G759" s="684"/>
      <c r="H759" s="685"/>
      <c r="I759" s="686"/>
      <c r="J759" s="687"/>
      <c r="K759" s="687"/>
      <c r="N759" s="685"/>
      <c r="O759" s="686"/>
      <c r="P759" s="687"/>
      <c r="Q759" s="687"/>
    </row>
    <row r="760" spans="7:17" ht="15.75" customHeight="1">
      <c r="G760" s="684"/>
      <c r="H760" s="685"/>
      <c r="I760" s="686"/>
      <c r="J760" s="687"/>
      <c r="K760" s="687"/>
      <c r="N760" s="685"/>
      <c r="O760" s="686"/>
      <c r="P760" s="687"/>
      <c r="Q760" s="687"/>
    </row>
    <row r="761" spans="7:17" ht="15.75" customHeight="1">
      <c r="G761" s="684"/>
      <c r="H761" s="685"/>
      <c r="I761" s="686"/>
      <c r="J761" s="687"/>
      <c r="K761" s="687"/>
      <c r="N761" s="685"/>
      <c r="O761" s="686"/>
      <c r="P761" s="687"/>
      <c r="Q761" s="687"/>
    </row>
    <row r="762" spans="7:17" ht="15.75" customHeight="1">
      <c r="G762" s="684"/>
      <c r="H762" s="685"/>
      <c r="I762" s="686"/>
      <c r="J762" s="687"/>
      <c r="K762" s="687"/>
      <c r="N762" s="685"/>
      <c r="O762" s="686"/>
      <c r="P762" s="687"/>
      <c r="Q762" s="687"/>
    </row>
    <row r="763" spans="7:17" ht="15.75" customHeight="1">
      <c r="G763" s="684"/>
      <c r="H763" s="685"/>
      <c r="I763" s="686"/>
      <c r="J763" s="687"/>
      <c r="K763" s="687"/>
      <c r="N763" s="685"/>
      <c r="O763" s="686"/>
      <c r="P763" s="687"/>
      <c r="Q763" s="687"/>
    </row>
    <row r="764" spans="7:17" ht="15.75" customHeight="1">
      <c r="G764" s="684"/>
      <c r="H764" s="685"/>
      <c r="I764" s="686"/>
      <c r="J764" s="687"/>
      <c r="K764" s="687"/>
      <c r="N764" s="685"/>
      <c r="O764" s="686"/>
      <c r="P764" s="687"/>
      <c r="Q764" s="687"/>
    </row>
    <row r="765" spans="7:17" ht="15.75" customHeight="1">
      <c r="G765" s="684"/>
      <c r="H765" s="685"/>
      <c r="I765" s="686"/>
      <c r="J765" s="687"/>
      <c r="K765" s="687"/>
      <c r="N765" s="685"/>
      <c r="O765" s="686"/>
      <c r="P765" s="687"/>
      <c r="Q765" s="687"/>
    </row>
    <row r="766" spans="7:17" ht="15.75" customHeight="1">
      <c r="G766" s="684"/>
      <c r="H766" s="685"/>
      <c r="I766" s="686"/>
      <c r="J766" s="687"/>
      <c r="K766" s="687"/>
      <c r="N766" s="685"/>
      <c r="O766" s="686"/>
      <c r="P766" s="687"/>
      <c r="Q766" s="687"/>
    </row>
    <row r="767" spans="7:17" ht="15.75" customHeight="1">
      <c r="G767" s="684"/>
      <c r="H767" s="685"/>
      <c r="I767" s="686"/>
      <c r="J767" s="687"/>
      <c r="K767" s="687"/>
      <c r="N767" s="685"/>
      <c r="O767" s="686"/>
      <c r="P767" s="687"/>
      <c r="Q767" s="687"/>
    </row>
    <row r="768" spans="7:17" ht="15.75" customHeight="1">
      <c r="G768" s="684"/>
      <c r="H768" s="685"/>
      <c r="I768" s="686"/>
      <c r="J768" s="687"/>
      <c r="K768" s="687"/>
      <c r="N768" s="685"/>
      <c r="O768" s="686"/>
      <c r="P768" s="687"/>
      <c r="Q768" s="687"/>
    </row>
    <row r="769" spans="7:17" ht="15.75" customHeight="1">
      <c r="G769" s="684"/>
      <c r="H769" s="685"/>
      <c r="I769" s="686"/>
      <c r="J769" s="687"/>
      <c r="K769" s="687"/>
      <c r="N769" s="685"/>
      <c r="O769" s="686"/>
      <c r="P769" s="687"/>
      <c r="Q769" s="687"/>
    </row>
    <row r="770" spans="7:17" ht="15.75" customHeight="1">
      <c r="G770" s="684"/>
      <c r="H770" s="685"/>
      <c r="I770" s="686"/>
      <c r="J770" s="687"/>
      <c r="K770" s="687"/>
      <c r="N770" s="685"/>
      <c r="O770" s="686"/>
      <c r="P770" s="687"/>
      <c r="Q770" s="687"/>
    </row>
    <row r="771" spans="7:17" ht="15.75" customHeight="1">
      <c r="G771" s="684"/>
      <c r="H771" s="685"/>
      <c r="I771" s="686"/>
      <c r="J771" s="687"/>
      <c r="K771" s="687"/>
      <c r="N771" s="685"/>
      <c r="O771" s="686"/>
      <c r="P771" s="687"/>
      <c r="Q771" s="687"/>
    </row>
    <row r="772" spans="7:17" ht="15.75" customHeight="1">
      <c r="G772" s="684"/>
      <c r="H772" s="685"/>
      <c r="I772" s="686"/>
      <c r="J772" s="687"/>
      <c r="K772" s="687"/>
      <c r="N772" s="685"/>
      <c r="O772" s="686"/>
      <c r="P772" s="687"/>
      <c r="Q772" s="687"/>
    </row>
    <row r="773" spans="7:17" ht="15.75" customHeight="1">
      <c r="G773" s="684"/>
      <c r="H773" s="685"/>
      <c r="I773" s="686"/>
      <c r="J773" s="687"/>
      <c r="K773" s="687"/>
      <c r="N773" s="685"/>
      <c r="O773" s="686"/>
      <c r="P773" s="687"/>
      <c r="Q773" s="687"/>
    </row>
    <row r="774" spans="7:17" ht="15.75" customHeight="1">
      <c r="G774" s="684"/>
      <c r="H774" s="685"/>
      <c r="I774" s="686"/>
      <c r="J774" s="687"/>
      <c r="K774" s="687"/>
      <c r="N774" s="685"/>
      <c r="O774" s="686"/>
      <c r="P774" s="687"/>
      <c r="Q774" s="687"/>
    </row>
    <row r="775" spans="7:17" ht="15.75" customHeight="1">
      <c r="G775" s="684"/>
      <c r="H775" s="685"/>
      <c r="I775" s="686"/>
      <c r="J775" s="687"/>
      <c r="K775" s="687"/>
      <c r="N775" s="685"/>
      <c r="O775" s="686"/>
      <c r="P775" s="687"/>
      <c r="Q775" s="687"/>
    </row>
    <row r="776" spans="7:17" ht="15.75" customHeight="1">
      <c r="G776" s="684"/>
      <c r="H776" s="685"/>
      <c r="I776" s="686"/>
      <c r="J776" s="687"/>
      <c r="K776" s="687"/>
      <c r="N776" s="685"/>
      <c r="O776" s="686"/>
      <c r="P776" s="687"/>
      <c r="Q776" s="687"/>
    </row>
    <row r="777" spans="7:17" ht="15.75" customHeight="1">
      <c r="G777" s="684"/>
      <c r="H777" s="685"/>
      <c r="I777" s="686"/>
      <c r="J777" s="687"/>
      <c r="K777" s="687"/>
      <c r="N777" s="685"/>
      <c r="O777" s="686"/>
      <c r="P777" s="687"/>
      <c r="Q777" s="687"/>
    </row>
    <row r="778" spans="7:17" ht="15.75" customHeight="1">
      <c r="G778" s="684"/>
      <c r="H778" s="685"/>
      <c r="I778" s="686"/>
      <c r="J778" s="687"/>
      <c r="K778" s="687"/>
      <c r="N778" s="685"/>
      <c r="O778" s="686"/>
      <c r="P778" s="687"/>
      <c r="Q778" s="687"/>
    </row>
    <row r="779" spans="7:17" ht="15.75" customHeight="1">
      <c r="G779" s="684"/>
      <c r="H779" s="685"/>
      <c r="I779" s="686"/>
      <c r="J779" s="687"/>
      <c r="K779" s="687"/>
      <c r="N779" s="685"/>
      <c r="O779" s="686"/>
      <c r="P779" s="687"/>
      <c r="Q779" s="687"/>
    </row>
    <row r="780" spans="7:17" ht="15.75" customHeight="1">
      <c r="G780" s="684"/>
      <c r="H780" s="685"/>
      <c r="I780" s="686"/>
      <c r="J780" s="687"/>
      <c r="K780" s="687"/>
      <c r="N780" s="685"/>
      <c r="O780" s="686"/>
      <c r="P780" s="687"/>
      <c r="Q780" s="687"/>
    </row>
    <row r="781" spans="7:17" ht="15.75" customHeight="1">
      <c r="G781" s="684"/>
      <c r="H781" s="685"/>
      <c r="I781" s="686"/>
      <c r="J781" s="687"/>
      <c r="K781" s="687"/>
      <c r="N781" s="685"/>
      <c r="O781" s="686"/>
      <c r="P781" s="687"/>
      <c r="Q781" s="687"/>
    </row>
    <row r="782" spans="7:17" ht="15.75" customHeight="1">
      <c r="G782" s="684"/>
      <c r="H782" s="685"/>
      <c r="I782" s="686"/>
      <c r="J782" s="687"/>
      <c r="K782" s="687"/>
      <c r="N782" s="685"/>
      <c r="O782" s="686"/>
      <c r="P782" s="687"/>
      <c r="Q782" s="687"/>
    </row>
    <row r="783" spans="7:17" ht="15.75" customHeight="1">
      <c r="G783" s="684"/>
      <c r="H783" s="685"/>
      <c r="I783" s="686"/>
      <c r="J783" s="687"/>
      <c r="K783" s="687"/>
      <c r="N783" s="685"/>
      <c r="O783" s="686"/>
      <c r="P783" s="687"/>
      <c r="Q783" s="687"/>
    </row>
    <row r="784" spans="7:17" ht="15.75" customHeight="1">
      <c r="G784" s="684"/>
      <c r="H784" s="685"/>
      <c r="I784" s="686"/>
      <c r="J784" s="687"/>
      <c r="K784" s="687"/>
      <c r="N784" s="685"/>
      <c r="O784" s="686"/>
      <c r="P784" s="687"/>
      <c r="Q784" s="687"/>
    </row>
    <row r="785" spans="7:17" ht="15.75" customHeight="1">
      <c r="G785" s="684"/>
      <c r="H785" s="685"/>
      <c r="I785" s="686"/>
      <c r="J785" s="687"/>
      <c r="K785" s="687"/>
      <c r="N785" s="685"/>
      <c r="O785" s="686"/>
      <c r="P785" s="687"/>
      <c r="Q785" s="687"/>
    </row>
    <row r="786" spans="7:17" ht="15.75" customHeight="1">
      <c r="G786" s="684"/>
      <c r="H786" s="685"/>
      <c r="I786" s="686"/>
      <c r="J786" s="687"/>
      <c r="K786" s="687"/>
      <c r="N786" s="685"/>
      <c r="O786" s="686"/>
      <c r="P786" s="687"/>
      <c r="Q786" s="687"/>
    </row>
    <row r="787" spans="7:17" ht="15.75" customHeight="1">
      <c r="G787" s="684"/>
      <c r="H787" s="685"/>
      <c r="I787" s="686"/>
      <c r="J787" s="687"/>
      <c r="K787" s="687"/>
      <c r="N787" s="685"/>
      <c r="O787" s="686"/>
      <c r="P787" s="687"/>
      <c r="Q787" s="687"/>
    </row>
    <row r="788" spans="7:17" ht="15.75" customHeight="1">
      <c r="G788" s="684"/>
      <c r="H788" s="685"/>
      <c r="I788" s="686"/>
      <c r="J788" s="687"/>
      <c r="K788" s="687"/>
      <c r="N788" s="685"/>
      <c r="O788" s="686"/>
      <c r="P788" s="687"/>
      <c r="Q788" s="687"/>
    </row>
    <row r="789" spans="7:17" ht="15.75" customHeight="1">
      <c r="G789" s="684"/>
      <c r="H789" s="685"/>
      <c r="I789" s="686"/>
      <c r="J789" s="687"/>
      <c r="K789" s="687"/>
      <c r="N789" s="685"/>
      <c r="O789" s="686"/>
      <c r="P789" s="687"/>
      <c r="Q789" s="687"/>
    </row>
    <row r="790" spans="7:17" ht="15.75" customHeight="1">
      <c r="G790" s="684"/>
      <c r="H790" s="685"/>
      <c r="I790" s="686"/>
      <c r="J790" s="687"/>
      <c r="K790" s="687"/>
      <c r="N790" s="685"/>
      <c r="O790" s="686"/>
      <c r="P790" s="687"/>
      <c r="Q790" s="687"/>
    </row>
    <row r="791" spans="7:17" ht="15.75" customHeight="1">
      <c r="G791" s="684"/>
      <c r="H791" s="685"/>
      <c r="I791" s="686"/>
      <c r="J791" s="687"/>
      <c r="K791" s="687"/>
      <c r="N791" s="685"/>
      <c r="O791" s="686"/>
      <c r="P791" s="687"/>
      <c r="Q791" s="687"/>
    </row>
    <row r="792" spans="7:17" ht="15.75" customHeight="1">
      <c r="G792" s="684"/>
      <c r="H792" s="685"/>
      <c r="I792" s="686"/>
      <c r="J792" s="687"/>
      <c r="K792" s="687"/>
      <c r="N792" s="685"/>
      <c r="O792" s="686"/>
      <c r="P792" s="687"/>
      <c r="Q792" s="687"/>
    </row>
    <row r="793" spans="7:17" ht="15.75" customHeight="1">
      <c r="G793" s="684"/>
      <c r="H793" s="685"/>
      <c r="I793" s="686"/>
      <c r="J793" s="687"/>
      <c r="K793" s="687"/>
      <c r="N793" s="685"/>
      <c r="O793" s="686"/>
      <c r="P793" s="687"/>
      <c r="Q793" s="687"/>
    </row>
    <row r="794" spans="7:17" ht="15.75" customHeight="1">
      <c r="G794" s="684"/>
      <c r="H794" s="685"/>
      <c r="I794" s="686"/>
      <c r="J794" s="687"/>
      <c r="K794" s="687"/>
      <c r="N794" s="685"/>
      <c r="O794" s="686"/>
      <c r="P794" s="687"/>
      <c r="Q794" s="687"/>
    </row>
    <row r="795" spans="7:17" ht="15.75" customHeight="1">
      <c r="G795" s="684"/>
      <c r="H795" s="685"/>
      <c r="I795" s="686"/>
      <c r="J795" s="687"/>
      <c r="K795" s="687"/>
      <c r="N795" s="685"/>
      <c r="O795" s="686"/>
      <c r="P795" s="687"/>
      <c r="Q795" s="687"/>
    </row>
    <row r="796" spans="7:17" ht="15.75" customHeight="1">
      <c r="G796" s="684"/>
      <c r="H796" s="685"/>
      <c r="I796" s="686"/>
      <c r="J796" s="687"/>
      <c r="K796" s="687"/>
      <c r="N796" s="685"/>
      <c r="O796" s="686"/>
      <c r="P796" s="687"/>
      <c r="Q796" s="687"/>
    </row>
    <row r="797" spans="7:17" ht="15.75" customHeight="1">
      <c r="G797" s="684"/>
      <c r="H797" s="685"/>
      <c r="I797" s="686"/>
      <c r="J797" s="687"/>
      <c r="K797" s="687"/>
      <c r="N797" s="685"/>
      <c r="O797" s="686"/>
      <c r="P797" s="687"/>
      <c r="Q797" s="687"/>
    </row>
    <row r="798" spans="7:17" ht="15.75" customHeight="1">
      <c r="G798" s="684"/>
      <c r="H798" s="685"/>
      <c r="I798" s="686"/>
      <c r="J798" s="687"/>
      <c r="K798" s="687"/>
      <c r="N798" s="685"/>
      <c r="O798" s="686"/>
      <c r="P798" s="687"/>
      <c r="Q798" s="687"/>
    </row>
    <row r="799" spans="7:17" ht="15.75" customHeight="1">
      <c r="G799" s="684"/>
      <c r="H799" s="685"/>
      <c r="I799" s="686"/>
      <c r="J799" s="687"/>
      <c r="K799" s="687"/>
      <c r="N799" s="685"/>
      <c r="O799" s="686"/>
      <c r="P799" s="687"/>
      <c r="Q799" s="687"/>
    </row>
    <row r="800" spans="7:17" ht="15.75" customHeight="1">
      <c r="G800" s="684"/>
      <c r="H800" s="685"/>
      <c r="I800" s="686"/>
      <c r="J800" s="687"/>
      <c r="K800" s="687"/>
      <c r="N800" s="685"/>
      <c r="O800" s="686"/>
      <c r="P800" s="687"/>
      <c r="Q800" s="687"/>
    </row>
    <row r="801" spans="7:17" ht="15.75" customHeight="1">
      <c r="G801" s="684"/>
      <c r="H801" s="685"/>
      <c r="I801" s="686"/>
      <c r="J801" s="687"/>
      <c r="K801" s="687"/>
      <c r="N801" s="685"/>
      <c r="O801" s="686"/>
      <c r="P801" s="687"/>
      <c r="Q801" s="687"/>
    </row>
    <row r="802" spans="7:17" ht="15.75" customHeight="1">
      <c r="G802" s="684"/>
      <c r="H802" s="685"/>
      <c r="I802" s="686"/>
      <c r="J802" s="687"/>
      <c r="K802" s="687"/>
      <c r="N802" s="685"/>
      <c r="O802" s="686"/>
      <c r="P802" s="687"/>
      <c r="Q802" s="687"/>
    </row>
    <row r="803" spans="7:17" ht="15.75" customHeight="1">
      <c r="G803" s="684"/>
      <c r="H803" s="685"/>
      <c r="I803" s="686"/>
      <c r="J803" s="687"/>
      <c r="K803" s="687"/>
      <c r="N803" s="685"/>
      <c r="O803" s="686"/>
      <c r="P803" s="687"/>
      <c r="Q803" s="687"/>
    </row>
    <row r="804" spans="7:17" ht="15.75" customHeight="1">
      <c r="G804" s="684"/>
      <c r="H804" s="685"/>
      <c r="I804" s="686"/>
      <c r="J804" s="687"/>
      <c r="K804" s="687"/>
      <c r="N804" s="685"/>
      <c r="O804" s="686"/>
      <c r="P804" s="687"/>
      <c r="Q804" s="687"/>
    </row>
    <row r="805" spans="7:17" ht="15.75" customHeight="1">
      <c r="G805" s="684"/>
      <c r="H805" s="685"/>
      <c r="I805" s="686"/>
      <c r="J805" s="687"/>
      <c r="K805" s="687"/>
      <c r="N805" s="685"/>
      <c r="O805" s="686"/>
      <c r="P805" s="687"/>
      <c r="Q805" s="687"/>
    </row>
    <row r="806" spans="7:17" ht="15.75" customHeight="1">
      <c r="G806" s="684"/>
      <c r="H806" s="685"/>
      <c r="I806" s="686"/>
      <c r="J806" s="687"/>
      <c r="K806" s="687"/>
      <c r="N806" s="685"/>
      <c r="O806" s="686"/>
      <c r="P806" s="687"/>
      <c r="Q806" s="687"/>
    </row>
    <row r="807" spans="7:17" ht="15.75" customHeight="1">
      <c r="G807" s="684"/>
      <c r="H807" s="685"/>
      <c r="I807" s="686"/>
      <c r="J807" s="687"/>
      <c r="K807" s="687"/>
      <c r="N807" s="685"/>
      <c r="O807" s="686"/>
      <c r="P807" s="687"/>
      <c r="Q807" s="687"/>
    </row>
    <row r="808" spans="7:17" ht="15.75" customHeight="1">
      <c r="G808" s="684"/>
      <c r="H808" s="685"/>
      <c r="I808" s="686"/>
      <c r="J808" s="687"/>
      <c r="K808" s="687"/>
      <c r="N808" s="685"/>
      <c r="O808" s="686"/>
      <c r="P808" s="687"/>
      <c r="Q808" s="687"/>
    </row>
    <row r="809" spans="7:17" ht="15.75" customHeight="1">
      <c r="G809" s="684"/>
      <c r="H809" s="685"/>
      <c r="I809" s="686"/>
      <c r="J809" s="687"/>
      <c r="K809" s="687"/>
      <c r="N809" s="685"/>
      <c r="O809" s="686"/>
      <c r="P809" s="687"/>
      <c r="Q809" s="687"/>
    </row>
    <row r="810" spans="7:17" ht="15.75" customHeight="1">
      <c r="G810" s="684"/>
      <c r="H810" s="685"/>
      <c r="I810" s="686"/>
      <c r="J810" s="687"/>
      <c r="K810" s="687"/>
      <c r="N810" s="685"/>
      <c r="O810" s="686"/>
      <c r="P810" s="687"/>
      <c r="Q810" s="687"/>
    </row>
    <row r="811" spans="7:17" ht="15.75" customHeight="1">
      <c r="G811" s="684"/>
      <c r="H811" s="685"/>
      <c r="I811" s="686"/>
      <c r="J811" s="687"/>
      <c r="K811" s="687"/>
      <c r="N811" s="685"/>
      <c r="O811" s="686"/>
      <c r="P811" s="687"/>
      <c r="Q811" s="687"/>
    </row>
    <row r="812" spans="7:17" ht="15.75" customHeight="1">
      <c r="G812" s="684"/>
      <c r="H812" s="685"/>
      <c r="I812" s="686"/>
      <c r="J812" s="687"/>
      <c r="K812" s="687"/>
      <c r="N812" s="685"/>
      <c r="O812" s="686"/>
      <c r="P812" s="687"/>
      <c r="Q812" s="687"/>
    </row>
    <row r="813" spans="7:17" ht="15.75" customHeight="1">
      <c r="G813" s="684"/>
      <c r="H813" s="685"/>
      <c r="I813" s="686"/>
      <c r="J813" s="687"/>
      <c r="K813" s="687"/>
      <c r="N813" s="685"/>
      <c r="O813" s="686"/>
      <c r="P813" s="687"/>
      <c r="Q813" s="687"/>
    </row>
    <row r="814" spans="7:17" ht="15.75" customHeight="1">
      <c r="G814" s="684"/>
      <c r="H814" s="685"/>
      <c r="I814" s="686"/>
      <c r="J814" s="687"/>
      <c r="K814" s="687"/>
      <c r="N814" s="685"/>
      <c r="O814" s="686"/>
      <c r="P814" s="687"/>
      <c r="Q814" s="687"/>
    </row>
    <row r="815" spans="7:17" ht="15.75" customHeight="1">
      <c r="G815" s="684"/>
      <c r="H815" s="685"/>
      <c r="I815" s="686"/>
      <c r="J815" s="687"/>
      <c r="K815" s="687"/>
      <c r="N815" s="685"/>
      <c r="O815" s="686"/>
      <c r="P815" s="687"/>
      <c r="Q815" s="687"/>
    </row>
    <row r="816" spans="7:17" ht="15.75" customHeight="1">
      <c r="G816" s="684"/>
      <c r="H816" s="685"/>
      <c r="I816" s="686"/>
      <c r="J816" s="687"/>
      <c r="K816" s="687"/>
      <c r="N816" s="685"/>
      <c r="O816" s="686"/>
      <c r="P816" s="687"/>
      <c r="Q816" s="687"/>
    </row>
    <row r="817" spans="7:17" ht="15.75" customHeight="1">
      <c r="G817" s="684"/>
      <c r="H817" s="685"/>
      <c r="I817" s="686"/>
      <c r="J817" s="687"/>
      <c r="K817" s="687"/>
      <c r="N817" s="685"/>
      <c r="O817" s="686"/>
      <c r="P817" s="687"/>
      <c r="Q817" s="687"/>
    </row>
    <row r="818" spans="7:17" ht="15.75" customHeight="1">
      <c r="G818" s="684"/>
      <c r="H818" s="685"/>
      <c r="I818" s="686"/>
      <c r="J818" s="687"/>
      <c r="K818" s="687"/>
      <c r="N818" s="685"/>
      <c r="O818" s="686"/>
      <c r="P818" s="687"/>
      <c r="Q818" s="687"/>
    </row>
    <row r="819" spans="7:17" ht="15.75" customHeight="1">
      <c r="G819" s="684"/>
      <c r="H819" s="685"/>
      <c r="I819" s="686"/>
      <c r="J819" s="687"/>
      <c r="K819" s="687"/>
      <c r="N819" s="685"/>
      <c r="O819" s="686"/>
      <c r="P819" s="687"/>
      <c r="Q819" s="687"/>
    </row>
    <row r="820" spans="7:17" ht="15.75" customHeight="1">
      <c r="G820" s="684"/>
      <c r="H820" s="685"/>
      <c r="I820" s="686"/>
      <c r="J820" s="687"/>
      <c r="K820" s="687"/>
      <c r="N820" s="685"/>
      <c r="O820" s="686"/>
      <c r="P820" s="687"/>
      <c r="Q820" s="687"/>
    </row>
    <row r="821" spans="7:17" ht="15.75" customHeight="1">
      <c r="G821" s="684"/>
      <c r="H821" s="685"/>
      <c r="I821" s="686"/>
      <c r="J821" s="687"/>
      <c r="K821" s="687"/>
      <c r="N821" s="685"/>
      <c r="O821" s="686"/>
      <c r="P821" s="687"/>
      <c r="Q821" s="687"/>
    </row>
    <row r="822" spans="7:17" ht="15.75" customHeight="1">
      <c r="G822" s="684"/>
      <c r="H822" s="685"/>
      <c r="I822" s="686"/>
      <c r="J822" s="687"/>
      <c r="K822" s="687"/>
      <c r="N822" s="685"/>
      <c r="O822" s="686"/>
      <c r="P822" s="687"/>
      <c r="Q822" s="687"/>
    </row>
    <row r="823" spans="7:17" ht="15.75" customHeight="1">
      <c r="G823" s="684"/>
      <c r="H823" s="685"/>
      <c r="I823" s="686"/>
      <c r="J823" s="687"/>
      <c r="K823" s="687"/>
      <c r="N823" s="685"/>
      <c r="O823" s="686"/>
      <c r="P823" s="687"/>
      <c r="Q823" s="687"/>
    </row>
    <row r="824" spans="7:17" ht="15.75" customHeight="1">
      <c r="G824" s="684"/>
      <c r="H824" s="685"/>
      <c r="I824" s="686"/>
      <c r="J824" s="687"/>
      <c r="K824" s="687"/>
      <c r="N824" s="685"/>
      <c r="O824" s="686"/>
      <c r="P824" s="687"/>
      <c r="Q824" s="687"/>
    </row>
    <row r="825" spans="7:17" ht="15.75" customHeight="1">
      <c r="G825" s="684"/>
      <c r="H825" s="685"/>
      <c r="I825" s="686"/>
      <c r="J825" s="687"/>
      <c r="K825" s="687"/>
      <c r="N825" s="685"/>
      <c r="O825" s="686"/>
      <c r="P825" s="687"/>
      <c r="Q825" s="687"/>
    </row>
    <row r="826" spans="7:17" ht="15.75" customHeight="1">
      <c r="G826" s="684"/>
      <c r="H826" s="685"/>
      <c r="I826" s="686"/>
      <c r="J826" s="687"/>
      <c r="K826" s="687"/>
      <c r="N826" s="685"/>
      <c r="O826" s="686"/>
      <c r="P826" s="687"/>
      <c r="Q826" s="687"/>
    </row>
    <row r="827" spans="7:17" ht="15.75" customHeight="1">
      <c r="G827" s="684"/>
      <c r="H827" s="685"/>
      <c r="I827" s="686"/>
      <c r="J827" s="687"/>
      <c r="K827" s="687"/>
      <c r="N827" s="685"/>
      <c r="O827" s="686"/>
      <c r="P827" s="687"/>
      <c r="Q827" s="687"/>
    </row>
    <row r="828" spans="7:17" ht="15.75" customHeight="1">
      <c r="G828" s="684"/>
      <c r="H828" s="685"/>
      <c r="I828" s="686"/>
      <c r="J828" s="687"/>
      <c r="K828" s="687"/>
      <c r="N828" s="685"/>
      <c r="O828" s="686"/>
      <c r="P828" s="687"/>
      <c r="Q828" s="687"/>
    </row>
    <row r="829" spans="7:17" ht="15.75" customHeight="1">
      <c r="G829" s="684"/>
      <c r="H829" s="685"/>
      <c r="I829" s="686"/>
      <c r="J829" s="687"/>
      <c r="K829" s="687"/>
      <c r="N829" s="685"/>
      <c r="O829" s="686"/>
      <c r="P829" s="687"/>
      <c r="Q829" s="687"/>
    </row>
    <row r="830" spans="7:17" ht="15.75" customHeight="1">
      <c r="G830" s="684"/>
      <c r="H830" s="685"/>
      <c r="I830" s="686"/>
      <c r="J830" s="687"/>
      <c r="K830" s="687"/>
      <c r="N830" s="685"/>
      <c r="O830" s="686"/>
      <c r="P830" s="687"/>
      <c r="Q830" s="687"/>
    </row>
    <row r="831" spans="7:17" ht="15.75" customHeight="1">
      <c r="G831" s="684"/>
      <c r="H831" s="685"/>
      <c r="I831" s="686"/>
      <c r="J831" s="687"/>
      <c r="K831" s="687"/>
      <c r="N831" s="685"/>
      <c r="O831" s="686"/>
      <c r="P831" s="687"/>
      <c r="Q831" s="687"/>
    </row>
    <row r="832" spans="7:17" ht="15.75" customHeight="1">
      <c r="G832" s="684"/>
      <c r="H832" s="685"/>
      <c r="I832" s="686"/>
      <c r="J832" s="687"/>
      <c r="K832" s="687"/>
      <c r="N832" s="685"/>
      <c r="O832" s="686"/>
      <c r="P832" s="687"/>
      <c r="Q832" s="687"/>
    </row>
    <row r="833" spans="7:17" ht="15.75" customHeight="1">
      <c r="G833" s="684"/>
      <c r="H833" s="685"/>
      <c r="I833" s="686"/>
      <c r="J833" s="687"/>
      <c r="K833" s="687"/>
      <c r="N833" s="685"/>
      <c r="O833" s="686"/>
      <c r="P833" s="687"/>
      <c r="Q833" s="687"/>
    </row>
    <row r="834" spans="7:17" ht="15.75" customHeight="1">
      <c r="G834" s="684"/>
      <c r="H834" s="685"/>
      <c r="I834" s="686"/>
      <c r="J834" s="687"/>
      <c r="K834" s="687"/>
      <c r="N834" s="685"/>
      <c r="O834" s="686"/>
      <c r="P834" s="687"/>
      <c r="Q834" s="687"/>
    </row>
    <row r="835" spans="7:17" ht="15.75" customHeight="1">
      <c r="G835" s="684"/>
      <c r="H835" s="685"/>
      <c r="I835" s="686"/>
      <c r="J835" s="687"/>
      <c r="K835" s="687"/>
      <c r="N835" s="685"/>
      <c r="O835" s="686"/>
      <c r="P835" s="687"/>
      <c r="Q835" s="687"/>
    </row>
    <row r="836" spans="7:17" ht="15.75" customHeight="1">
      <c r="G836" s="684"/>
      <c r="H836" s="685"/>
      <c r="I836" s="686"/>
      <c r="J836" s="687"/>
      <c r="K836" s="687"/>
      <c r="N836" s="685"/>
      <c r="O836" s="686"/>
      <c r="P836" s="687"/>
      <c r="Q836" s="687"/>
    </row>
    <row r="837" spans="7:17" ht="15.75" customHeight="1">
      <c r="G837" s="684"/>
      <c r="H837" s="685"/>
      <c r="I837" s="686"/>
      <c r="J837" s="687"/>
      <c r="K837" s="687"/>
      <c r="N837" s="685"/>
      <c r="O837" s="686"/>
      <c r="P837" s="687"/>
      <c r="Q837" s="687"/>
    </row>
    <row r="838" spans="7:17" ht="15.75" customHeight="1">
      <c r="G838" s="684"/>
      <c r="H838" s="685"/>
      <c r="I838" s="686"/>
      <c r="J838" s="687"/>
      <c r="K838" s="687"/>
      <c r="N838" s="685"/>
      <c r="O838" s="686"/>
      <c r="P838" s="687"/>
      <c r="Q838" s="687"/>
    </row>
    <row r="839" spans="7:17" ht="15.75" customHeight="1">
      <c r="G839" s="684"/>
      <c r="H839" s="685"/>
      <c r="I839" s="686"/>
      <c r="J839" s="687"/>
      <c r="K839" s="687"/>
      <c r="N839" s="685"/>
      <c r="O839" s="686"/>
      <c r="P839" s="687"/>
      <c r="Q839" s="687"/>
    </row>
    <row r="840" spans="7:17" ht="15.75" customHeight="1">
      <c r="G840" s="684"/>
      <c r="H840" s="685"/>
      <c r="I840" s="686"/>
      <c r="J840" s="687"/>
      <c r="K840" s="687"/>
      <c r="N840" s="685"/>
      <c r="O840" s="686"/>
      <c r="P840" s="687"/>
      <c r="Q840" s="687"/>
    </row>
    <row r="841" spans="7:17" ht="15.75" customHeight="1">
      <c r="G841" s="684"/>
      <c r="H841" s="685"/>
      <c r="I841" s="686"/>
      <c r="J841" s="687"/>
      <c r="K841" s="687"/>
      <c r="N841" s="685"/>
      <c r="O841" s="686"/>
      <c r="P841" s="687"/>
      <c r="Q841" s="687"/>
    </row>
    <row r="842" spans="7:17" ht="15.75" customHeight="1">
      <c r="G842" s="684"/>
      <c r="H842" s="685"/>
      <c r="I842" s="686"/>
      <c r="J842" s="687"/>
      <c r="K842" s="687"/>
      <c r="N842" s="685"/>
      <c r="O842" s="686"/>
      <c r="P842" s="687"/>
      <c r="Q842" s="687"/>
    </row>
    <row r="843" spans="7:17" ht="15.75" customHeight="1">
      <c r="G843" s="684"/>
      <c r="H843" s="685"/>
      <c r="I843" s="686"/>
      <c r="J843" s="687"/>
      <c r="K843" s="687"/>
      <c r="N843" s="685"/>
      <c r="O843" s="686"/>
      <c r="P843" s="687"/>
      <c r="Q843" s="687"/>
    </row>
    <row r="844" spans="7:17" ht="15.75" customHeight="1">
      <c r="G844" s="684"/>
      <c r="H844" s="685"/>
      <c r="I844" s="686"/>
      <c r="J844" s="687"/>
      <c r="K844" s="687"/>
      <c r="N844" s="685"/>
      <c r="O844" s="686"/>
      <c r="P844" s="687"/>
      <c r="Q844" s="687"/>
    </row>
    <row r="845" spans="7:17" ht="15.75" customHeight="1">
      <c r="G845" s="684"/>
      <c r="H845" s="685"/>
      <c r="I845" s="686"/>
      <c r="J845" s="687"/>
      <c r="K845" s="687"/>
      <c r="N845" s="685"/>
      <c r="O845" s="686"/>
      <c r="P845" s="687"/>
      <c r="Q845" s="687"/>
    </row>
    <row r="846" spans="7:17" ht="15.75" customHeight="1">
      <c r="G846" s="684"/>
      <c r="H846" s="685"/>
      <c r="I846" s="686"/>
      <c r="J846" s="687"/>
      <c r="K846" s="687"/>
      <c r="N846" s="685"/>
      <c r="O846" s="686"/>
      <c r="P846" s="687"/>
      <c r="Q846" s="687"/>
    </row>
    <row r="847" spans="7:17" ht="15.75" customHeight="1">
      <c r="G847" s="684"/>
      <c r="H847" s="685"/>
      <c r="I847" s="686"/>
      <c r="J847" s="687"/>
      <c r="K847" s="687"/>
      <c r="N847" s="685"/>
      <c r="O847" s="686"/>
      <c r="P847" s="687"/>
      <c r="Q847" s="687"/>
    </row>
    <row r="848" spans="7:17" ht="15.75" customHeight="1">
      <c r="G848" s="684"/>
      <c r="H848" s="685"/>
      <c r="I848" s="686"/>
      <c r="J848" s="687"/>
      <c r="K848" s="687"/>
      <c r="N848" s="685"/>
      <c r="O848" s="686"/>
      <c r="P848" s="687"/>
      <c r="Q848" s="687"/>
    </row>
    <row r="849" spans="7:17" ht="15.75" customHeight="1">
      <c r="G849" s="684"/>
      <c r="H849" s="685"/>
      <c r="I849" s="686"/>
      <c r="J849" s="687"/>
      <c r="K849" s="687"/>
      <c r="N849" s="685"/>
      <c r="O849" s="686"/>
      <c r="P849" s="687"/>
      <c r="Q849" s="687"/>
    </row>
    <row r="850" spans="7:17" ht="15.75" customHeight="1">
      <c r="G850" s="684"/>
      <c r="H850" s="685"/>
      <c r="I850" s="686"/>
      <c r="J850" s="687"/>
      <c r="K850" s="687"/>
      <c r="N850" s="685"/>
      <c r="O850" s="686"/>
      <c r="P850" s="687"/>
      <c r="Q850" s="687"/>
    </row>
    <row r="851" spans="7:17" ht="15.75" customHeight="1">
      <c r="G851" s="684"/>
      <c r="H851" s="685"/>
      <c r="I851" s="686"/>
      <c r="J851" s="687"/>
      <c r="K851" s="687"/>
      <c r="N851" s="685"/>
      <c r="O851" s="686"/>
      <c r="P851" s="687"/>
      <c r="Q851" s="687"/>
    </row>
    <row r="852" spans="7:17" ht="15.75" customHeight="1">
      <c r="G852" s="684"/>
      <c r="H852" s="685"/>
      <c r="I852" s="686"/>
      <c r="J852" s="687"/>
      <c r="K852" s="687"/>
      <c r="N852" s="685"/>
      <c r="O852" s="686"/>
      <c r="P852" s="687"/>
      <c r="Q852" s="687"/>
    </row>
    <row r="853" spans="7:17" ht="15.75" customHeight="1">
      <c r="G853" s="684"/>
      <c r="H853" s="685"/>
      <c r="I853" s="686"/>
      <c r="J853" s="687"/>
      <c r="K853" s="687"/>
      <c r="N853" s="685"/>
      <c r="O853" s="686"/>
      <c r="P853" s="687"/>
      <c r="Q853" s="687"/>
    </row>
    <row r="854" spans="7:17" ht="15.75" customHeight="1">
      <c r="G854" s="684"/>
      <c r="H854" s="685"/>
      <c r="I854" s="686"/>
      <c r="J854" s="687"/>
      <c r="K854" s="687"/>
      <c r="N854" s="685"/>
      <c r="O854" s="686"/>
      <c r="P854" s="687"/>
      <c r="Q854" s="687"/>
    </row>
    <row r="855" spans="7:17" ht="15.75" customHeight="1">
      <c r="G855" s="684"/>
      <c r="H855" s="685"/>
      <c r="I855" s="686"/>
      <c r="J855" s="687"/>
      <c r="K855" s="687"/>
      <c r="N855" s="685"/>
      <c r="O855" s="686"/>
      <c r="P855" s="687"/>
      <c r="Q855" s="687"/>
    </row>
    <row r="856" spans="7:17" ht="15.75" customHeight="1">
      <c r="G856" s="684"/>
      <c r="H856" s="685"/>
      <c r="I856" s="686"/>
      <c r="J856" s="687"/>
      <c r="K856" s="687"/>
      <c r="N856" s="685"/>
      <c r="O856" s="686"/>
      <c r="P856" s="687"/>
      <c r="Q856" s="687"/>
    </row>
    <row r="857" spans="7:17" ht="15.75" customHeight="1">
      <c r="G857" s="684"/>
      <c r="H857" s="685"/>
      <c r="I857" s="686"/>
      <c r="J857" s="687"/>
      <c r="K857" s="687"/>
      <c r="N857" s="685"/>
      <c r="O857" s="686"/>
      <c r="P857" s="687"/>
      <c r="Q857" s="687"/>
    </row>
    <row r="858" spans="7:17" ht="15.75" customHeight="1">
      <c r="G858" s="684"/>
      <c r="H858" s="685"/>
      <c r="I858" s="686"/>
      <c r="J858" s="687"/>
      <c r="K858" s="687"/>
      <c r="N858" s="685"/>
      <c r="O858" s="686"/>
      <c r="P858" s="687"/>
      <c r="Q858" s="687"/>
    </row>
    <row r="859" spans="7:17" ht="15.75" customHeight="1">
      <c r="G859" s="684"/>
      <c r="H859" s="685"/>
      <c r="I859" s="686"/>
      <c r="J859" s="687"/>
      <c r="K859" s="687"/>
      <c r="N859" s="685"/>
      <c r="O859" s="686"/>
      <c r="P859" s="687"/>
      <c r="Q859" s="687"/>
    </row>
    <row r="860" spans="7:17" ht="15.75" customHeight="1">
      <c r="G860" s="684"/>
      <c r="H860" s="685"/>
      <c r="I860" s="686"/>
      <c r="J860" s="687"/>
      <c r="K860" s="687"/>
      <c r="N860" s="685"/>
      <c r="O860" s="686"/>
      <c r="P860" s="687"/>
      <c r="Q860" s="687"/>
    </row>
    <row r="861" spans="7:17" ht="15.75" customHeight="1">
      <c r="G861" s="684"/>
      <c r="H861" s="685"/>
      <c r="I861" s="686"/>
      <c r="J861" s="687"/>
      <c r="K861" s="687"/>
      <c r="N861" s="685"/>
      <c r="O861" s="686"/>
      <c r="P861" s="687"/>
      <c r="Q861" s="687"/>
    </row>
    <row r="862" spans="7:17" ht="15.75" customHeight="1">
      <c r="G862" s="684"/>
      <c r="H862" s="685"/>
      <c r="I862" s="686"/>
      <c r="J862" s="687"/>
      <c r="K862" s="687"/>
      <c r="N862" s="685"/>
      <c r="O862" s="686"/>
      <c r="P862" s="687"/>
      <c r="Q862" s="687"/>
    </row>
    <row r="863" spans="7:17" ht="15.75" customHeight="1">
      <c r="G863" s="684"/>
      <c r="H863" s="685"/>
      <c r="I863" s="686"/>
      <c r="J863" s="687"/>
      <c r="K863" s="687"/>
      <c r="N863" s="685"/>
      <c r="O863" s="686"/>
      <c r="P863" s="687"/>
      <c r="Q863" s="687"/>
    </row>
    <row r="864" spans="7:17" ht="15.75" customHeight="1">
      <c r="G864" s="684"/>
      <c r="H864" s="685"/>
      <c r="I864" s="686"/>
      <c r="J864" s="687"/>
      <c r="K864" s="687"/>
      <c r="N864" s="685"/>
      <c r="O864" s="686"/>
      <c r="P864" s="687"/>
      <c r="Q864" s="687"/>
    </row>
    <row r="865" spans="7:17" ht="15.75" customHeight="1">
      <c r="G865" s="684"/>
      <c r="H865" s="685"/>
      <c r="I865" s="686"/>
      <c r="J865" s="687"/>
      <c r="K865" s="687"/>
      <c r="N865" s="685"/>
      <c r="O865" s="686"/>
      <c r="P865" s="687"/>
      <c r="Q865" s="687"/>
    </row>
    <row r="866" spans="7:17" ht="15.75" customHeight="1">
      <c r="G866" s="684"/>
      <c r="H866" s="685"/>
      <c r="I866" s="686"/>
      <c r="J866" s="687"/>
      <c r="K866" s="687"/>
      <c r="N866" s="685"/>
      <c r="O866" s="686"/>
      <c r="P866" s="687"/>
      <c r="Q866" s="687"/>
    </row>
    <row r="867" spans="7:17" ht="15.75" customHeight="1">
      <c r="G867" s="684"/>
      <c r="H867" s="685"/>
      <c r="I867" s="686"/>
      <c r="J867" s="687"/>
      <c r="K867" s="687"/>
      <c r="N867" s="685"/>
      <c r="O867" s="686"/>
      <c r="P867" s="687"/>
      <c r="Q867" s="687"/>
    </row>
    <row r="868" spans="7:17" ht="15.75" customHeight="1">
      <c r="G868" s="684"/>
      <c r="H868" s="685"/>
      <c r="I868" s="686"/>
      <c r="J868" s="687"/>
      <c r="K868" s="687"/>
      <c r="N868" s="685"/>
      <c r="O868" s="686"/>
      <c r="P868" s="687"/>
      <c r="Q868" s="687"/>
    </row>
    <row r="869" spans="7:17" ht="15.75" customHeight="1">
      <c r="G869" s="684"/>
      <c r="H869" s="685"/>
      <c r="I869" s="686"/>
      <c r="J869" s="687"/>
      <c r="K869" s="687"/>
      <c r="N869" s="685"/>
      <c r="O869" s="686"/>
      <c r="P869" s="687"/>
      <c r="Q869" s="687"/>
    </row>
    <row r="870" spans="7:17" ht="15.75" customHeight="1">
      <c r="G870" s="684"/>
      <c r="H870" s="685"/>
      <c r="I870" s="686"/>
      <c r="J870" s="687"/>
      <c r="K870" s="687"/>
      <c r="N870" s="685"/>
      <c r="O870" s="686"/>
      <c r="P870" s="687"/>
      <c r="Q870" s="687"/>
    </row>
    <row r="871" spans="7:17" ht="15.75" customHeight="1">
      <c r="G871" s="684"/>
      <c r="H871" s="685"/>
      <c r="I871" s="686"/>
      <c r="J871" s="687"/>
      <c r="K871" s="687"/>
      <c r="N871" s="685"/>
      <c r="O871" s="686"/>
      <c r="P871" s="687"/>
      <c r="Q871" s="687"/>
    </row>
    <row r="872" spans="7:17" ht="15.75" customHeight="1">
      <c r="G872" s="684"/>
      <c r="H872" s="685"/>
      <c r="I872" s="686"/>
      <c r="J872" s="687"/>
      <c r="K872" s="687"/>
      <c r="N872" s="685"/>
      <c r="O872" s="686"/>
      <c r="P872" s="687"/>
      <c r="Q872" s="687"/>
    </row>
    <row r="873" spans="7:17" ht="15.75" customHeight="1">
      <c r="G873" s="684"/>
      <c r="H873" s="685"/>
      <c r="I873" s="686"/>
      <c r="J873" s="687"/>
      <c r="K873" s="687"/>
      <c r="N873" s="685"/>
      <c r="O873" s="686"/>
      <c r="P873" s="687"/>
      <c r="Q873" s="687"/>
    </row>
    <row r="874" spans="7:17" ht="15.75" customHeight="1">
      <c r="G874" s="684"/>
      <c r="H874" s="685"/>
      <c r="I874" s="686"/>
      <c r="J874" s="687"/>
      <c r="K874" s="687"/>
      <c r="N874" s="685"/>
      <c r="O874" s="686"/>
      <c r="P874" s="687"/>
      <c r="Q874" s="687"/>
    </row>
    <row r="875" spans="7:17" ht="15.75" customHeight="1">
      <c r="G875" s="684"/>
      <c r="H875" s="685"/>
      <c r="I875" s="686"/>
      <c r="J875" s="687"/>
      <c r="K875" s="687"/>
      <c r="N875" s="685"/>
      <c r="O875" s="686"/>
      <c r="P875" s="687"/>
      <c r="Q875" s="687"/>
    </row>
    <row r="876" spans="7:17" ht="15.75" customHeight="1">
      <c r="G876" s="684"/>
      <c r="H876" s="685"/>
      <c r="I876" s="686"/>
      <c r="J876" s="687"/>
      <c r="K876" s="687"/>
      <c r="N876" s="685"/>
      <c r="O876" s="686"/>
      <c r="P876" s="687"/>
      <c r="Q876" s="687"/>
    </row>
    <row r="877" spans="7:17" ht="15.75" customHeight="1">
      <c r="G877" s="684"/>
      <c r="H877" s="685"/>
      <c r="I877" s="686"/>
      <c r="J877" s="687"/>
      <c r="K877" s="687"/>
      <c r="N877" s="685"/>
      <c r="O877" s="686"/>
      <c r="P877" s="687"/>
      <c r="Q877" s="687"/>
    </row>
    <row r="878" spans="7:17" ht="15.75" customHeight="1">
      <c r="G878" s="684"/>
      <c r="H878" s="685"/>
      <c r="I878" s="686"/>
      <c r="J878" s="687"/>
      <c r="K878" s="687"/>
      <c r="N878" s="685"/>
      <c r="O878" s="686"/>
      <c r="P878" s="687"/>
      <c r="Q878" s="687"/>
    </row>
    <row r="879" spans="7:17" ht="15.75" customHeight="1">
      <c r="G879" s="684"/>
      <c r="H879" s="685"/>
      <c r="I879" s="686"/>
      <c r="J879" s="687"/>
      <c r="K879" s="687"/>
      <c r="N879" s="685"/>
      <c r="O879" s="686"/>
      <c r="P879" s="687"/>
      <c r="Q879" s="687"/>
    </row>
    <row r="880" spans="7:17" ht="15.75" customHeight="1">
      <c r="G880" s="684"/>
      <c r="H880" s="685"/>
      <c r="I880" s="686"/>
      <c r="J880" s="687"/>
      <c r="K880" s="687"/>
      <c r="N880" s="685"/>
      <c r="O880" s="686"/>
      <c r="P880" s="687"/>
      <c r="Q880" s="687"/>
    </row>
    <row r="881" spans="7:17" ht="15.75" customHeight="1">
      <c r="G881" s="684"/>
      <c r="H881" s="685"/>
      <c r="I881" s="686"/>
      <c r="J881" s="687"/>
      <c r="K881" s="687"/>
      <c r="N881" s="685"/>
      <c r="O881" s="686"/>
      <c r="P881" s="687"/>
      <c r="Q881" s="687"/>
    </row>
    <row r="882" spans="7:17" ht="15.75" customHeight="1">
      <c r="G882" s="684"/>
      <c r="H882" s="685"/>
      <c r="I882" s="686"/>
      <c r="J882" s="687"/>
      <c r="K882" s="687"/>
      <c r="N882" s="685"/>
      <c r="O882" s="686"/>
      <c r="P882" s="687"/>
      <c r="Q882" s="687"/>
    </row>
    <row r="883" spans="7:17" ht="15.75" customHeight="1">
      <c r="G883" s="684"/>
      <c r="H883" s="685"/>
      <c r="I883" s="686"/>
      <c r="J883" s="687"/>
      <c r="K883" s="687"/>
      <c r="N883" s="685"/>
      <c r="O883" s="686"/>
      <c r="P883" s="687"/>
      <c r="Q883" s="687"/>
    </row>
    <row r="884" spans="7:17" ht="15.75" customHeight="1">
      <c r="G884" s="684"/>
      <c r="H884" s="685"/>
      <c r="I884" s="686"/>
      <c r="J884" s="687"/>
      <c r="K884" s="687"/>
      <c r="N884" s="685"/>
      <c r="O884" s="686"/>
      <c r="P884" s="687"/>
      <c r="Q884" s="687"/>
    </row>
    <row r="885" spans="7:17" ht="15.75" customHeight="1">
      <c r="G885" s="684"/>
      <c r="H885" s="685"/>
      <c r="I885" s="686"/>
      <c r="J885" s="687"/>
      <c r="K885" s="687"/>
      <c r="N885" s="685"/>
      <c r="O885" s="686"/>
      <c r="P885" s="687"/>
      <c r="Q885" s="687"/>
    </row>
    <row r="886" spans="7:17" ht="15.75" customHeight="1">
      <c r="G886" s="684"/>
      <c r="H886" s="685"/>
      <c r="I886" s="686"/>
      <c r="J886" s="687"/>
      <c r="K886" s="687"/>
      <c r="N886" s="685"/>
      <c r="O886" s="686"/>
      <c r="P886" s="687"/>
      <c r="Q886" s="687"/>
    </row>
    <row r="887" spans="7:17" ht="15.75" customHeight="1">
      <c r="G887" s="684"/>
      <c r="H887" s="685"/>
      <c r="I887" s="686"/>
      <c r="J887" s="687"/>
      <c r="K887" s="687"/>
      <c r="N887" s="685"/>
      <c r="O887" s="686"/>
      <c r="P887" s="687"/>
      <c r="Q887" s="687"/>
    </row>
    <row r="888" spans="7:17" ht="15.75" customHeight="1">
      <c r="G888" s="684"/>
      <c r="H888" s="685"/>
      <c r="I888" s="686"/>
      <c r="J888" s="687"/>
      <c r="K888" s="687"/>
      <c r="N888" s="685"/>
      <c r="O888" s="686"/>
      <c r="P888" s="687"/>
      <c r="Q888" s="687"/>
    </row>
    <row r="889" spans="7:17" ht="15.75" customHeight="1">
      <c r="G889" s="684"/>
      <c r="H889" s="685"/>
      <c r="I889" s="686"/>
      <c r="J889" s="687"/>
      <c r="K889" s="687"/>
      <c r="N889" s="685"/>
      <c r="O889" s="686"/>
      <c r="P889" s="687"/>
      <c r="Q889" s="687"/>
    </row>
    <row r="890" spans="7:17" ht="15.75" customHeight="1">
      <c r="G890" s="684"/>
      <c r="H890" s="685"/>
      <c r="I890" s="686"/>
      <c r="J890" s="687"/>
      <c r="K890" s="687"/>
      <c r="N890" s="685"/>
      <c r="O890" s="686"/>
      <c r="P890" s="687"/>
      <c r="Q890" s="687"/>
    </row>
    <row r="891" spans="7:17" ht="15.75" customHeight="1">
      <c r="G891" s="684"/>
      <c r="H891" s="685"/>
      <c r="I891" s="686"/>
      <c r="J891" s="687"/>
      <c r="K891" s="687"/>
      <c r="N891" s="685"/>
      <c r="O891" s="686"/>
      <c r="P891" s="687"/>
      <c r="Q891" s="687"/>
    </row>
    <row r="892" spans="7:17" ht="15.75" customHeight="1">
      <c r="G892" s="684"/>
      <c r="H892" s="685"/>
      <c r="I892" s="686"/>
      <c r="J892" s="687"/>
      <c r="K892" s="687"/>
      <c r="N892" s="685"/>
      <c r="O892" s="686"/>
      <c r="P892" s="687"/>
      <c r="Q892" s="687"/>
    </row>
    <row r="893" spans="7:17" ht="15.75" customHeight="1">
      <c r="G893" s="684"/>
      <c r="H893" s="685"/>
      <c r="I893" s="686"/>
      <c r="J893" s="687"/>
      <c r="K893" s="687"/>
      <c r="N893" s="685"/>
      <c r="O893" s="686"/>
      <c r="P893" s="687"/>
      <c r="Q893" s="687"/>
    </row>
    <row r="894" spans="7:17" ht="15.75" customHeight="1">
      <c r="G894" s="684"/>
      <c r="H894" s="685"/>
      <c r="I894" s="686"/>
      <c r="J894" s="687"/>
      <c r="K894" s="687"/>
      <c r="N894" s="685"/>
      <c r="O894" s="686"/>
      <c r="P894" s="687"/>
      <c r="Q894" s="687"/>
    </row>
    <row r="895" spans="7:17" ht="15.75" customHeight="1">
      <c r="G895" s="684"/>
      <c r="H895" s="685"/>
      <c r="I895" s="686"/>
      <c r="J895" s="687"/>
      <c r="K895" s="687"/>
      <c r="N895" s="685"/>
      <c r="O895" s="686"/>
      <c r="P895" s="687"/>
      <c r="Q895" s="687"/>
    </row>
    <row r="896" spans="7:17" ht="15.75" customHeight="1">
      <c r="G896" s="684"/>
      <c r="H896" s="685"/>
      <c r="I896" s="686"/>
      <c r="J896" s="687"/>
      <c r="K896" s="687"/>
      <c r="N896" s="685"/>
      <c r="O896" s="686"/>
      <c r="P896" s="687"/>
      <c r="Q896" s="687"/>
    </row>
    <row r="897" spans="7:17" ht="15.75" customHeight="1">
      <c r="G897" s="684"/>
      <c r="H897" s="685"/>
      <c r="I897" s="686"/>
      <c r="J897" s="687"/>
      <c r="K897" s="687"/>
      <c r="N897" s="685"/>
      <c r="O897" s="686"/>
      <c r="P897" s="687"/>
      <c r="Q897" s="687"/>
    </row>
    <row r="898" spans="7:17" ht="15.75" customHeight="1">
      <c r="G898" s="684"/>
      <c r="H898" s="685"/>
      <c r="I898" s="686"/>
      <c r="J898" s="687"/>
      <c r="K898" s="687"/>
      <c r="N898" s="685"/>
      <c r="O898" s="686"/>
      <c r="P898" s="687"/>
      <c r="Q898" s="687"/>
    </row>
    <row r="899" spans="7:17" ht="15.75" customHeight="1">
      <c r="G899" s="684"/>
      <c r="H899" s="685"/>
      <c r="I899" s="686"/>
      <c r="J899" s="687"/>
      <c r="K899" s="687"/>
      <c r="N899" s="685"/>
      <c r="O899" s="686"/>
      <c r="P899" s="687"/>
      <c r="Q899" s="687"/>
    </row>
    <row r="900" spans="7:17" ht="15.75" customHeight="1">
      <c r="G900" s="684"/>
      <c r="H900" s="685"/>
      <c r="I900" s="686"/>
      <c r="J900" s="687"/>
      <c r="K900" s="687"/>
      <c r="N900" s="685"/>
      <c r="O900" s="686"/>
      <c r="P900" s="687"/>
      <c r="Q900" s="687"/>
    </row>
    <row r="901" spans="7:17" ht="15.75" customHeight="1">
      <c r="G901" s="684"/>
      <c r="H901" s="685"/>
      <c r="I901" s="686"/>
      <c r="J901" s="687"/>
      <c r="K901" s="687"/>
      <c r="N901" s="685"/>
      <c r="O901" s="686"/>
      <c r="P901" s="687"/>
      <c r="Q901" s="687"/>
    </row>
    <row r="902" spans="7:17" ht="15.75" customHeight="1">
      <c r="G902" s="684"/>
      <c r="H902" s="685"/>
      <c r="I902" s="686"/>
      <c r="J902" s="687"/>
      <c r="K902" s="687"/>
      <c r="N902" s="685"/>
      <c r="O902" s="686"/>
      <c r="P902" s="687"/>
      <c r="Q902" s="687"/>
    </row>
    <row r="903" spans="7:17" ht="15.75" customHeight="1">
      <c r="G903" s="684"/>
      <c r="H903" s="685"/>
      <c r="I903" s="686"/>
      <c r="J903" s="687"/>
      <c r="K903" s="687"/>
      <c r="N903" s="685"/>
      <c r="O903" s="686"/>
      <c r="P903" s="687"/>
      <c r="Q903" s="687"/>
    </row>
    <row r="904" spans="7:17" ht="15.75" customHeight="1">
      <c r="G904" s="684"/>
      <c r="H904" s="685"/>
      <c r="I904" s="686"/>
      <c r="J904" s="687"/>
      <c r="K904" s="687"/>
      <c r="N904" s="685"/>
      <c r="O904" s="686"/>
      <c r="P904" s="687"/>
      <c r="Q904" s="687"/>
    </row>
    <row r="905" spans="7:17" ht="15.75" customHeight="1">
      <c r="G905" s="684"/>
      <c r="H905" s="685"/>
      <c r="I905" s="686"/>
      <c r="J905" s="687"/>
      <c r="K905" s="687"/>
      <c r="N905" s="685"/>
      <c r="O905" s="686"/>
      <c r="P905" s="687"/>
      <c r="Q905" s="687"/>
    </row>
    <row r="906" spans="7:17" ht="15.75" customHeight="1">
      <c r="G906" s="684"/>
      <c r="H906" s="685"/>
      <c r="I906" s="686"/>
      <c r="J906" s="687"/>
      <c r="K906" s="687"/>
      <c r="N906" s="685"/>
      <c r="O906" s="686"/>
      <c r="P906" s="687"/>
      <c r="Q906" s="687"/>
    </row>
    <row r="907" spans="7:17" ht="15.75" customHeight="1">
      <c r="G907" s="684"/>
      <c r="H907" s="685"/>
      <c r="I907" s="686"/>
      <c r="J907" s="687"/>
      <c r="K907" s="687"/>
      <c r="N907" s="685"/>
      <c r="O907" s="686"/>
      <c r="P907" s="687"/>
      <c r="Q907" s="687"/>
    </row>
    <row r="908" spans="7:17" ht="15.75" customHeight="1">
      <c r="G908" s="684"/>
      <c r="H908" s="685"/>
      <c r="I908" s="686"/>
      <c r="J908" s="687"/>
      <c r="K908" s="687"/>
      <c r="N908" s="685"/>
      <c r="O908" s="686"/>
      <c r="P908" s="687"/>
      <c r="Q908" s="687"/>
    </row>
    <row r="909" spans="7:17" ht="15.75" customHeight="1">
      <c r="G909" s="684"/>
      <c r="H909" s="685"/>
      <c r="I909" s="686"/>
      <c r="J909" s="687"/>
      <c r="K909" s="687"/>
      <c r="N909" s="685"/>
      <c r="O909" s="686"/>
      <c r="P909" s="687"/>
      <c r="Q909" s="687"/>
    </row>
    <row r="910" spans="7:17" ht="15.75" customHeight="1">
      <c r="G910" s="684"/>
      <c r="H910" s="685"/>
      <c r="I910" s="686"/>
      <c r="J910" s="687"/>
      <c r="K910" s="687"/>
      <c r="N910" s="685"/>
      <c r="O910" s="686"/>
      <c r="P910" s="687"/>
      <c r="Q910" s="687"/>
    </row>
    <row r="911" spans="7:17" ht="15.75" customHeight="1">
      <c r="G911" s="684"/>
      <c r="H911" s="685"/>
      <c r="I911" s="686"/>
      <c r="J911" s="687"/>
      <c r="K911" s="687"/>
      <c r="N911" s="685"/>
      <c r="O911" s="686"/>
      <c r="P911" s="687"/>
      <c r="Q911" s="687"/>
    </row>
    <row r="912" spans="7:17" ht="15.75" customHeight="1">
      <c r="G912" s="684"/>
      <c r="H912" s="685"/>
      <c r="I912" s="686"/>
      <c r="J912" s="687"/>
      <c r="K912" s="687"/>
      <c r="N912" s="685"/>
      <c r="O912" s="686"/>
      <c r="P912" s="687"/>
      <c r="Q912" s="687"/>
    </row>
    <row r="913" spans="7:17" ht="15.75" customHeight="1">
      <c r="G913" s="684"/>
      <c r="H913" s="685"/>
      <c r="I913" s="686"/>
      <c r="J913" s="687"/>
      <c r="K913" s="687"/>
      <c r="N913" s="685"/>
      <c r="O913" s="686"/>
      <c r="P913" s="687"/>
      <c r="Q913" s="687"/>
    </row>
    <row r="914" spans="7:17" ht="15.75" customHeight="1">
      <c r="G914" s="684"/>
      <c r="H914" s="685"/>
      <c r="I914" s="686"/>
      <c r="J914" s="687"/>
      <c r="K914" s="687"/>
      <c r="N914" s="685"/>
      <c r="O914" s="686"/>
      <c r="P914" s="687"/>
      <c r="Q914" s="687"/>
    </row>
    <row r="915" spans="7:17" ht="15.75" customHeight="1">
      <c r="G915" s="684"/>
      <c r="H915" s="685"/>
      <c r="I915" s="686"/>
      <c r="J915" s="687"/>
      <c r="K915" s="687"/>
      <c r="N915" s="685"/>
      <c r="O915" s="686"/>
      <c r="P915" s="687"/>
      <c r="Q915" s="687"/>
    </row>
    <row r="916" spans="7:17" ht="15.75" customHeight="1">
      <c r="G916" s="684"/>
      <c r="H916" s="685"/>
      <c r="I916" s="686"/>
      <c r="J916" s="687"/>
      <c r="K916" s="687"/>
      <c r="N916" s="685"/>
      <c r="O916" s="686"/>
      <c r="P916" s="687"/>
      <c r="Q916" s="687"/>
    </row>
    <row r="917" spans="7:17" ht="15.75" customHeight="1">
      <c r="G917" s="684"/>
      <c r="H917" s="685"/>
      <c r="I917" s="686"/>
      <c r="J917" s="687"/>
      <c r="K917" s="687"/>
      <c r="N917" s="685"/>
      <c r="O917" s="686"/>
      <c r="P917" s="687"/>
      <c r="Q917" s="687"/>
    </row>
    <row r="918" spans="7:17" ht="15.75" customHeight="1">
      <c r="G918" s="684"/>
      <c r="H918" s="685"/>
      <c r="I918" s="686"/>
      <c r="J918" s="687"/>
      <c r="K918" s="687"/>
      <c r="N918" s="685"/>
      <c r="O918" s="686"/>
      <c r="P918" s="687"/>
      <c r="Q918" s="687"/>
    </row>
    <row r="919" spans="7:17" ht="15.75" customHeight="1">
      <c r="G919" s="684"/>
      <c r="H919" s="685"/>
      <c r="I919" s="686"/>
      <c r="J919" s="687"/>
      <c r="K919" s="687"/>
      <c r="N919" s="685"/>
      <c r="O919" s="686"/>
      <c r="P919" s="687"/>
      <c r="Q919" s="687"/>
    </row>
    <row r="920" spans="7:17" ht="15.75" customHeight="1">
      <c r="G920" s="684"/>
      <c r="H920" s="685"/>
      <c r="I920" s="686"/>
      <c r="J920" s="687"/>
      <c r="K920" s="687"/>
      <c r="N920" s="685"/>
      <c r="O920" s="686"/>
      <c r="P920" s="687"/>
      <c r="Q920" s="687"/>
    </row>
    <row r="921" spans="7:17" ht="15.75" customHeight="1">
      <c r="G921" s="684"/>
      <c r="H921" s="685"/>
      <c r="I921" s="686"/>
      <c r="J921" s="687"/>
      <c r="K921" s="687"/>
      <c r="N921" s="685"/>
      <c r="O921" s="686"/>
      <c r="P921" s="687"/>
      <c r="Q921" s="687"/>
    </row>
    <row r="922" spans="7:17" ht="15.75" customHeight="1">
      <c r="G922" s="684"/>
      <c r="H922" s="685"/>
      <c r="I922" s="686"/>
      <c r="J922" s="687"/>
      <c r="K922" s="687"/>
      <c r="N922" s="685"/>
      <c r="O922" s="686"/>
      <c r="P922" s="687"/>
      <c r="Q922" s="687"/>
    </row>
    <row r="923" spans="7:17" ht="15.75" customHeight="1">
      <c r="G923" s="684"/>
      <c r="H923" s="685"/>
      <c r="I923" s="686"/>
      <c r="J923" s="687"/>
      <c r="K923" s="687"/>
      <c r="N923" s="685"/>
      <c r="O923" s="686"/>
      <c r="P923" s="687"/>
      <c r="Q923" s="687"/>
    </row>
    <row r="924" spans="7:17" ht="15.75" customHeight="1">
      <c r="G924" s="684"/>
      <c r="H924" s="685"/>
      <c r="I924" s="686"/>
      <c r="J924" s="687"/>
      <c r="K924" s="687"/>
      <c r="N924" s="685"/>
      <c r="O924" s="686"/>
      <c r="P924" s="687"/>
      <c r="Q924" s="687"/>
    </row>
    <row r="925" spans="7:17" ht="15.75" customHeight="1">
      <c r="G925" s="684"/>
      <c r="H925" s="685"/>
      <c r="I925" s="686"/>
      <c r="J925" s="687"/>
      <c r="K925" s="687"/>
      <c r="N925" s="685"/>
      <c r="O925" s="686"/>
      <c r="P925" s="687"/>
      <c r="Q925" s="687"/>
    </row>
    <row r="926" spans="7:17" ht="15.75" customHeight="1">
      <c r="G926" s="684"/>
      <c r="H926" s="685"/>
      <c r="I926" s="686"/>
      <c r="J926" s="687"/>
      <c r="K926" s="687"/>
      <c r="N926" s="685"/>
      <c r="O926" s="686"/>
      <c r="P926" s="687"/>
      <c r="Q926" s="687"/>
    </row>
    <row r="927" spans="7:17" ht="15.75" customHeight="1">
      <c r="G927" s="684"/>
      <c r="H927" s="685"/>
      <c r="I927" s="686"/>
      <c r="J927" s="687"/>
      <c r="K927" s="687"/>
      <c r="N927" s="685"/>
      <c r="O927" s="686"/>
      <c r="P927" s="687"/>
      <c r="Q927" s="687"/>
    </row>
    <row r="928" spans="7:17" ht="15.75" customHeight="1">
      <c r="G928" s="684"/>
      <c r="H928" s="685"/>
      <c r="I928" s="686"/>
      <c r="J928" s="687"/>
      <c r="K928" s="687"/>
      <c r="N928" s="685"/>
      <c r="O928" s="686"/>
      <c r="P928" s="687"/>
      <c r="Q928" s="687"/>
    </row>
    <row r="929" spans="7:17" ht="15.75" customHeight="1">
      <c r="G929" s="684"/>
      <c r="H929" s="685"/>
      <c r="I929" s="686"/>
      <c r="J929" s="687"/>
      <c r="K929" s="687"/>
      <c r="N929" s="685"/>
      <c r="O929" s="686"/>
      <c r="P929" s="687"/>
      <c r="Q929" s="687"/>
    </row>
    <row r="930" spans="7:17" ht="15.75" customHeight="1">
      <c r="G930" s="684"/>
      <c r="H930" s="685"/>
      <c r="I930" s="686"/>
      <c r="J930" s="687"/>
      <c r="K930" s="687"/>
      <c r="N930" s="685"/>
      <c r="O930" s="686"/>
      <c r="P930" s="687"/>
      <c r="Q930" s="687"/>
    </row>
    <row r="931" spans="7:17" ht="15.75" customHeight="1">
      <c r="G931" s="684"/>
      <c r="H931" s="685"/>
      <c r="I931" s="686"/>
      <c r="J931" s="687"/>
      <c r="K931" s="687"/>
      <c r="N931" s="685"/>
      <c r="O931" s="686"/>
      <c r="P931" s="687"/>
      <c r="Q931" s="687"/>
    </row>
    <row r="932" spans="7:17" ht="15.75" customHeight="1">
      <c r="G932" s="684"/>
      <c r="H932" s="685"/>
      <c r="I932" s="686"/>
      <c r="J932" s="687"/>
      <c r="K932" s="687"/>
      <c r="N932" s="685"/>
      <c r="O932" s="686"/>
      <c r="P932" s="687"/>
      <c r="Q932" s="687"/>
    </row>
    <row r="933" spans="7:17" ht="15.75" customHeight="1">
      <c r="G933" s="684"/>
      <c r="H933" s="685"/>
      <c r="I933" s="686"/>
      <c r="J933" s="687"/>
      <c r="K933" s="687"/>
      <c r="N933" s="685"/>
      <c r="O933" s="686"/>
      <c r="P933" s="687"/>
      <c r="Q933" s="687"/>
    </row>
    <row r="934" spans="7:17" ht="15.75" customHeight="1">
      <c r="G934" s="684"/>
      <c r="H934" s="685"/>
      <c r="I934" s="686"/>
      <c r="J934" s="687"/>
      <c r="K934" s="687"/>
      <c r="N934" s="685"/>
      <c r="O934" s="686"/>
      <c r="P934" s="687"/>
      <c r="Q934" s="687"/>
    </row>
    <row r="935" spans="7:17" ht="15.75" customHeight="1">
      <c r="G935" s="684"/>
      <c r="H935" s="685"/>
      <c r="I935" s="686"/>
      <c r="J935" s="687"/>
      <c r="K935" s="687"/>
      <c r="N935" s="685"/>
      <c r="O935" s="686"/>
      <c r="P935" s="687"/>
      <c r="Q935" s="687"/>
    </row>
    <row r="936" spans="7:17" ht="15.75" customHeight="1">
      <c r="G936" s="684"/>
      <c r="H936" s="685"/>
      <c r="I936" s="686"/>
      <c r="J936" s="687"/>
      <c r="K936" s="687"/>
      <c r="N936" s="685"/>
      <c r="O936" s="686"/>
      <c r="P936" s="687"/>
      <c r="Q936" s="687"/>
    </row>
    <row r="937" spans="7:17" ht="15.75" customHeight="1">
      <c r="G937" s="684"/>
      <c r="H937" s="685"/>
      <c r="I937" s="686"/>
      <c r="J937" s="687"/>
      <c r="K937" s="687"/>
      <c r="N937" s="685"/>
      <c r="O937" s="686"/>
      <c r="P937" s="687"/>
      <c r="Q937" s="687"/>
    </row>
    <row r="938" spans="7:17" ht="15.75" customHeight="1">
      <c r="G938" s="684"/>
      <c r="H938" s="685"/>
      <c r="I938" s="686"/>
      <c r="J938" s="687"/>
      <c r="K938" s="687"/>
      <c r="N938" s="685"/>
      <c r="O938" s="686"/>
      <c r="P938" s="687"/>
      <c r="Q938" s="687"/>
    </row>
    <row r="939" spans="7:17" ht="15.75" customHeight="1">
      <c r="G939" s="684"/>
      <c r="H939" s="685"/>
      <c r="I939" s="686"/>
      <c r="J939" s="687"/>
      <c r="K939" s="687"/>
      <c r="N939" s="685"/>
      <c r="O939" s="686"/>
      <c r="P939" s="687"/>
      <c r="Q939" s="687"/>
    </row>
    <row r="940" spans="7:17" ht="15.75" customHeight="1">
      <c r="G940" s="684"/>
      <c r="H940" s="685"/>
      <c r="I940" s="686"/>
      <c r="J940" s="687"/>
      <c r="K940" s="687"/>
      <c r="N940" s="685"/>
      <c r="O940" s="686"/>
      <c r="P940" s="687"/>
      <c r="Q940" s="687"/>
    </row>
    <row r="941" spans="7:17" ht="15.75" customHeight="1">
      <c r="G941" s="684"/>
      <c r="H941" s="685"/>
      <c r="I941" s="686"/>
      <c r="J941" s="687"/>
      <c r="K941" s="687"/>
      <c r="N941" s="685"/>
      <c r="O941" s="686"/>
      <c r="P941" s="687"/>
      <c r="Q941" s="687"/>
    </row>
    <row r="942" spans="7:17" ht="15.75" customHeight="1">
      <c r="G942" s="684"/>
      <c r="H942" s="685"/>
      <c r="I942" s="686"/>
      <c r="J942" s="687"/>
      <c r="K942" s="687"/>
      <c r="N942" s="685"/>
      <c r="O942" s="686"/>
      <c r="P942" s="687"/>
      <c r="Q942" s="687"/>
    </row>
    <row r="943" spans="7:17" ht="15.75" customHeight="1">
      <c r="G943" s="684"/>
      <c r="H943" s="685"/>
      <c r="I943" s="686"/>
      <c r="J943" s="687"/>
      <c r="K943" s="687"/>
      <c r="N943" s="685"/>
      <c r="O943" s="686"/>
      <c r="P943" s="687"/>
      <c r="Q943" s="687"/>
    </row>
    <row r="944" spans="7:17" ht="15.75" customHeight="1">
      <c r="G944" s="684"/>
      <c r="H944" s="685"/>
      <c r="I944" s="686"/>
      <c r="J944" s="687"/>
      <c r="K944" s="687"/>
      <c r="N944" s="685"/>
      <c r="O944" s="686"/>
      <c r="P944" s="687"/>
      <c r="Q944" s="687"/>
    </row>
    <row r="945" spans="7:17" ht="15.75" customHeight="1">
      <c r="G945" s="684"/>
      <c r="H945" s="685"/>
      <c r="I945" s="686"/>
      <c r="J945" s="687"/>
      <c r="K945" s="687"/>
      <c r="N945" s="685"/>
      <c r="O945" s="686"/>
      <c r="P945" s="687"/>
      <c r="Q945" s="687"/>
    </row>
    <row r="946" spans="7:17" ht="15.75" customHeight="1">
      <c r="G946" s="684"/>
      <c r="H946" s="685"/>
      <c r="I946" s="686"/>
      <c r="J946" s="687"/>
      <c r="K946" s="687"/>
      <c r="N946" s="685"/>
      <c r="O946" s="686"/>
      <c r="P946" s="687"/>
      <c r="Q946" s="687"/>
    </row>
    <row r="947" spans="7:17" ht="15.75" customHeight="1">
      <c r="G947" s="684"/>
      <c r="H947" s="685"/>
      <c r="I947" s="686"/>
      <c r="J947" s="687"/>
      <c r="K947" s="687"/>
      <c r="N947" s="685"/>
      <c r="O947" s="686"/>
      <c r="P947" s="687"/>
      <c r="Q947" s="687"/>
    </row>
    <row r="948" spans="7:17" ht="15.75" customHeight="1">
      <c r="G948" s="684"/>
      <c r="H948" s="685"/>
      <c r="I948" s="686"/>
      <c r="J948" s="687"/>
      <c r="K948" s="687"/>
      <c r="N948" s="685"/>
      <c r="O948" s="686"/>
      <c r="P948" s="687"/>
      <c r="Q948" s="687"/>
    </row>
    <row r="949" spans="7:17" ht="15.75" customHeight="1">
      <c r="G949" s="684"/>
      <c r="H949" s="685"/>
      <c r="I949" s="686"/>
      <c r="J949" s="687"/>
      <c r="K949" s="687"/>
      <c r="N949" s="685"/>
      <c r="O949" s="686"/>
      <c r="P949" s="687"/>
      <c r="Q949" s="687"/>
    </row>
    <row r="950" spans="7:17" ht="15.75" customHeight="1">
      <c r="G950" s="684"/>
      <c r="H950" s="685"/>
      <c r="I950" s="686"/>
      <c r="J950" s="687"/>
      <c r="K950" s="687"/>
      <c r="N950" s="685"/>
      <c r="O950" s="686"/>
      <c r="P950" s="687"/>
      <c r="Q950" s="687"/>
    </row>
    <row r="951" spans="7:17" ht="15.75" customHeight="1">
      <c r="G951" s="684"/>
      <c r="H951" s="685"/>
      <c r="I951" s="686"/>
      <c r="J951" s="687"/>
      <c r="K951" s="687"/>
      <c r="N951" s="685"/>
      <c r="O951" s="686"/>
      <c r="P951" s="687"/>
      <c r="Q951" s="687"/>
    </row>
    <row r="952" spans="7:17" ht="15.75" customHeight="1">
      <c r="G952" s="684"/>
      <c r="H952" s="685"/>
      <c r="I952" s="686"/>
      <c r="J952" s="687"/>
      <c r="K952" s="687"/>
      <c r="N952" s="685"/>
      <c r="O952" s="686"/>
      <c r="P952" s="687"/>
      <c r="Q952" s="687"/>
    </row>
    <row r="953" spans="7:17" ht="15.75" customHeight="1">
      <c r="G953" s="684"/>
      <c r="H953" s="685"/>
      <c r="I953" s="686"/>
      <c r="J953" s="687"/>
      <c r="K953" s="687"/>
      <c r="N953" s="685"/>
      <c r="O953" s="686"/>
      <c r="P953" s="687"/>
      <c r="Q953" s="687"/>
    </row>
    <row r="954" spans="7:17" ht="15.75" customHeight="1">
      <c r="G954" s="684"/>
      <c r="H954" s="685"/>
      <c r="I954" s="686"/>
      <c r="J954" s="687"/>
      <c r="K954" s="687"/>
      <c r="N954" s="685"/>
      <c r="O954" s="686"/>
      <c r="P954" s="687"/>
      <c r="Q954" s="687"/>
    </row>
    <row r="955" spans="7:17" ht="15.75" customHeight="1">
      <c r="G955" s="684"/>
      <c r="H955" s="685"/>
      <c r="I955" s="686"/>
      <c r="J955" s="687"/>
      <c r="K955" s="687"/>
      <c r="N955" s="685"/>
      <c r="O955" s="686"/>
      <c r="P955" s="687"/>
      <c r="Q955" s="687"/>
    </row>
    <row r="956" spans="7:17" ht="15.75" customHeight="1">
      <c r="G956" s="684"/>
      <c r="H956" s="685"/>
      <c r="I956" s="686"/>
      <c r="J956" s="687"/>
      <c r="K956" s="687"/>
      <c r="N956" s="685"/>
      <c r="O956" s="686"/>
      <c r="P956" s="687"/>
      <c r="Q956" s="687"/>
    </row>
    <row r="957" spans="7:17" ht="15.75" customHeight="1">
      <c r="G957" s="684"/>
      <c r="H957" s="685"/>
      <c r="I957" s="686"/>
      <c r="J957" s="687"/>
      <c r="K957" s="687"/>
      <c r="N957" s="685"/>
      <c r="O957" s="686"/>
      <c r="P957" s="687"/>
      <c r="Q957" s="687"/>
    </row>
    <row r="958" spans="7:17" ht="15.75" customHeight="1">
      <c r="G958" s="684"/>
      <c r="H958" s="685"/>
      <c r="I958" s="686"/>
      <c r="J958" s="687"/>
      <c r="K958" s="687"/>
      <c r="N958" s="685"/>
      <c r="O958" s="686"/>
      <c r="P958" s="687"/>
      <c r="Q958" s="687"/>
    </row>
    <row r="959" spans="7:17" ht="15.75" customHeight="1">
      <c r="G959" s="684"/>
      <c r="H959" s="685"/>
      <c r="I959" s="686"/>
      <c r="J959" s="687"/>
      <c r="K959" s="687"/>
      <c r="N959" s="685"/>
      <c r="O959" s="686"/>
      <c r="P959" s="687"/>
      <c r="Q959" s="687"/>
    </row>
    <row r="960" spans="7:17" ht="15.75" customHeight="1">
      <c r="G960" s="684"/>
      <c r="H960" s="685"/>
      <c r="I960" s="686"/>
      <c r="J960" s="687"/>
      <c r="K960" s="687"/>
      <c r="N960" s="685"/>
      <c r="O960" s="686"/>
      <c r="P960" s="687"/>
      <c r="Q960" s="687"/>
    </row>
    <row r="961" spans="7:17" ht="15.75" customHeight="1">
      <c r="G961" s="684"/>
      <c r="H961" s="685"/>
      <c r="I961" s="686"/>
      <c r="J961" s="687"/>
      <c r="K961" s="687"/>
      <c r="N961" s="685"/>
      <c r="O961" s="686"/>
      <c r="P961" s="687"/>
      <c r="Q961" s="687"/>
    </row>
    <row r="962" spans="7:17" ht="15.75" customHeight="1">
      <c r="G962" s="684"/>
      <c r="H962" s="685"/>
      <c r="I962" s="686"/>
      <c r="J962" s="687"/>
      <c r="K962" s="687"/>
      <c r="N962" s="685"/>
      <c r="O962" s="686"/>
      <c r="P962" s="687"/>
      <c r="Q962" s="687"/>
    </row>
    <row r="963" spans="7:17" ht="15.75" customHeight="1">
      <c r="G963" s="684"/>
      <c r="H963" s="685"/>
      <c r="I963" s="686"/>
      <c r="J963" s="687"/>
      <c r="K963" s="687"/>
      <c r="N963" s="685"/>
      <c r="O963" s="686"/>
      <c r="P963" s="687"/>
      <c r="Q963" s="687"/>
    </row>
    <row r="964" spans="7:17" ht="15.75" customHeight="1">
      <c r="G964" s="684"/>
      <c r="H964" s="685"/>
      <c r="I964" s="686"/>
      <c r="J964" s="687"/>
      <c r="K964" s="687"/>
      <c r="N964" s="685"/>
      <c r="O964" s="686"/>
      <c r="P964" s="687"/>
      <c r="Q964" s="687"/>
    </row>
    <row r="965" spans="7:17" ht="15.75" customHeight="1">
      <c r="G965" s="684"/>
      <c r="H965" s="685"/>
      <c r="I965" s="686"/>
      <c r="J965" s="687"/>
      <c r="K965" s="687"/>
      <c r="N965" s="685"/>
      <c r="O965" s="686"/>
      <c r="P965" s="687"/>
      <c r="Q965" s="687"/>
    </row>
    <row r="966" spans="7:17" ht="15.75" customHeight="1">
      <c r="G966" s="684"/>
      <c r="H966" s="685"/>
      <c r="I966" s="686"/>
      <c r="J966" s="687"/>
      <c r="K966" s="687"/>
      <c r="N966" s="685"/>
      <c r="O966" s="686"/>
      <c r="P966" s="687"/>
      <c r="Q966" s="687"/>
    </row>
    <row r="967" spans="7:17" ht="15.75" customHeight="1">
      <c r="G967" s="684"/>
      <c r="H967" s="685"/>
      <c r="I967" s="686"/>
      <c r="J967" s="687"/>
      <c r="K967" s="687"/>
      <c r="N967" s="685"/>
      <c r="O967" s="686"/>
      <c r="P967" s="687"/>
      <c r="Q967" s="687"/>
    </row>
    <row r="968" spans="7:17" ht="15.75" customHeight="1">
      <c r="G968" s="684"/>
      <c r="H968" s="685"/>
      <c r="I968" s="686"/>
      <c r="J968" s="687"/>
      <c r="K968" s="687"/>
      <c r="N968" s="685"/>
      <c r="O968" s="686"/>
      <c r="P968" s="687"/>
      <c r="Q968" s="687"/>
    </row>
    <row r="969" spans="7:17" ht="15.75" customHeight="1">
      <c r="G969" s="684"/>
      <c r="H969" s="685"/>
      <c r="I969" s="686"/>
      <c r="J969" s="687"/>
      <c r="K969" s="687"/>
      <c r="N969" s="685"/>
      <c r="O969" s="686"/>
      <c r="P969" s="687"/>
      <c r="Q969" s="687"/>
    </row>
    <row r="970" spans="7:17" ht="15.75" customHeight="1">
      <c r="G970" s="684"/>
      <c r="H970" s="685"/>
      <c r="I970" s="686"/>
      <c r="J970" s="687"/>
      <c r="K970" s="687"/>
      <c r="N970" s="685"/>
      <c r="O970" s="686"/>
      <c r="P970" s="687"/>
      <c r="Q970" s="687"/>
    </row>
    <row r="971" spans="7:17" ht="15.75" customHeight="1">
      <c r="G971" s="684"/>
      <c r="H971" s="685"/>
      <c r="I971" s="686"/>
      <c r="J971" s="687"/>
      <c r="K971" s="687"/>
      <c r="N971" s="685"/>
      <c r="O971" s="686"/>
      <c r="P971" s="687"/>
      <c r="Q971" s="687"/>
    </row>
    <row r="972" spans="7:17" ht="15.75" customHeight="1">
      <c r="G972" s="684"/>
      <c r="H972" s="685"/>
      <c r="I972" s="686"/>
      <c r="J972" s="687"/>
      <c r="K972" s="687"/>
      <c r="N972" s="685"/>
      <c r="O972" s="686"/>
      <c r="P972" s="687"/>
      <c r="Q972" s="687"/>
    </row>
    <row r="973" spans="7:17" ht="15.75" customHeight="1">
      <c r="G973" s="684"/>
      <c r="H973" s="685"/>
      <c r="I973" s="686"/>
      <c r="J973" s="687"/>
      <c r="K973" s="687"/>
      <c r="N973" s="685"/>
      <c r="O973" s="686"/>
      <c r="P973" s="687"/>
      <c r="Q973" s="687"/>
    </row>
    <row r="974" spans="7:17" ht="15.75" customHeight="1">
      <c r="G974" s="684"/>
      <c r="H974" s="685"/>
      <c r="I974" s="686"/>
      <c r="J974" s="687"/>
      <c r="K974" s="687"/>
      <c r="N974" s="685"/>
      <c r="O974" s="686"/>
      <c r="P974" s="687"/>
      <c r="Q974" s="687"/>
    </row>
    <row r="975" spans="7:17" ht="15.75" customHeight="1">
      <c r="G975" s="684"/>
      <c r="H975" s="685"/>
      <c r="I975" s="686"/>
      <c r="J975" s="687"/>
      <c r="K975" s="687"/>
      <c r="N975" s="685"/>
      <c r="O975" s="686"/>
      <c r="P975" s="687"/>
      <c r="Q975" s="687"/>
    </row>
    <row r="976" spans="7:17" ht="15.75" customHeight="1">
      <c r="G976" s="684"/>
      <c r="H976" s="685"/>
      <c r="I976" s="686"/>
      <c r="J976" s="687"/>
      <c r="K976" s="687"/>
      <c r="N976" s="685"/>
      <c r="O976" s="686"/>
      <c r="P976" s="687"/>
      <c r="Q976" s="687"/>
    </row>
    <row r="977" spans="7:17" ht="15.75" customHeight="1">
      <c r="G977" s="684"/>
      <c r="H977" s="685"/>
      <c r="I977" s="686"/>
      <c r="J977" s="687"/>
      <c r="K977" s="687"/>
      <c r="N977" s="685"/>
      <c r="O977" s="686"/>
      <c r="P977" s="687"/>
      <c r="Q977" s="687"/>
    </row>
    <row r="978" spans="7:17" ht="15.75" customHeight="1">
      <c r="G978" s="684"/>
      <c r="H978" s="685"/>
      <c r="I978" s="686"/>
      <c r="J978" s="687"/>
      <c r="K978" s="687"/>
      <c r="N978" s="685"/>
      <c r="O978" s="686"/>
      <c r="P978" s="687"/>
      <c r="Q978" s="687"/>
    </row>
    <row r="979" spans="7:17" ht="15.75" customHeight="1">
      <c r="G979" s="684"/>
      <c r="H979" s="685"/>
      <c r="I979" s="686"/>
      <c r="J979" s="687"/>
      <c r="K979" s="687"/>
      <c r="N979" s="685"/>
      <c r="O979" s="686"/>
      <c r="P979" s="687"/>
      <c r="Q979" s="687"/>
    </row>
    <row r="980" spans="7:17" ht="15.75" customHeight="1">
      <c r="G980" s="684"/>
      <c r="H980" s="685"/>
      <c r="I980" s="686"/>
      <c r="J980" s="687"/>
      <c r="K980" s="687"/>
      <c r="N980" s="685"/>
      <c r="O980" s="686"/>
      <c r="P980" s="687"/>
      <c r="Q980" s="687"/>
    </row>
    <row r="981" spans="7:17" ht="15.75" customHeight="1">
      <c r="G981" s="684"/>
      <c r="H981" s="685"/>
      <c r="I981" s="686"/>
      <c r="J981" s="687"/>
      <c r="K981" s="687"/>
      <c r="N981" s="685"/>
      <c r="O981" s="686"/>
      <c r="P981" s="687"/>
      <c r="Q981" s="687"/>
    </row>
    <row r="982" spans="7:17" ht="15.75" customHeight="1">
      <c r="G982" s="684"/>
      <c r="H982" s="685"/>
      <c r="I982" s="686"/>
      <c r="J982" s="687"/>
      <c r="K982" s="687"/>
      <c r="N982" s="685"/>
      <c r="O982" s="686"/>
      <c r="P982" s="687"/>
      <c r="Q982" s="687"/>
    </row>
    <row r="983" spans="7:17" ht="15.75" customHeight="1">
      <c r="G983" s="684"/>
      <c r="H983" s="685"/>
      <c r="I983" s="686"/>
      <c r="J983" s="687"/>
      <c r="K983" s="687"/>
      <c r="N983" s="685"/>
      <c r="O983" s="686"/>
      <c r="P983" s="687"/>
      <c r="Q983" s="687"/>
    </row>
    <row r="984" spans="7:17" ht="15.75" customHeight="1">
      <c r="G984" s="684"/>
      <c r="H984" s="685"/>
      <c r="I984" s="686"/>
      <c r="J984" s="687"/>
      <c r="K984" s="687"/>
      <c r="N984" s="685"/>
      <c r="O984" s="686"/>
      <c r="P984" s="687"/>
      <c r="Q984" s="687"/>
    </row>
    <row r="985" spans="7:17" ht="15.75" customHeight="1">
      <c r="G985" s="684"/>
      <c r="H985" s="685"/>
      <c r="I985" s="686"/>
      <c r="J985" s="687"/>
      <c r="K985" s="687"/>
      <c r="N985" s="685"/>
      <c r="O985" s="686"/>
      <c r="P985" s="687"/>
      <c r="Q985" s="687"/>
    </row>
    <row r="986" spans="7:17" ht="15.75" customHeight="1">
      <c r="G986" s="684"/>
      <c r="H986" s="685"/>
      <c r="I986" s="686"/>
      <c r="J986" s="687"/>
      <c r="K986" s="687"/>
      <c r="N986" s="685"/>
      <c r="O986" s="686"/>
      <c r="P986" s="687"/>
      <c r="Q986" s="687"/>
    </row>
    <row r="987" spans="7:17" ht="15.75" customHeight="1">
      <c r="G987" s="684"/>
      <c r="H987" s="685"/>
      <c r="I987" s="686"/>
      <c r="J987" s="687"/>
      <c r="K987" s="687"/>
      <c r="N987" s="685"/>
      <c r="O987" s="686"/>
      <c r="P987" s="687"/>
      <c r="Q987" s="687"/>
    </row>
    <row r="988" spans="7:17" ht="15.75" customHeight="1">
      <c r="G988" s="684"/>
      <c r="H988" s="685"/>
      <c r="I988" s="686"/>
      <c r="J988" s="687"/>
      <c r="K988" s="687"/>
      <c r="N988" s="685"/>
      <c r="O988" s="686"/>
      <c r="P988" s="687"/>
      <c r="Q988" s="687"/>
    </row>
    <row r="989" spans="7:17" ht="15.75" customHeight="1">
      <c r="G989" s="684"/>
      <c r="H989" s="685"/>
      <c r="I989" s="686"/>
      <c r="J989" s="687"/>
      <c r="K989" s="687"/>
      <c r="N989" s="685"/>
      <c r="O989" s="686"/>
      <c r="P989" s="687"/>
      <c r="Q989" s="687"/>
    </row>
    <row r="990" spans="7:17" ht="15.75" customHeight="1">
      <c r="G990" s="684"/>
      <c r="H990" s="685"/>
      <c r="I990" s="686"/>
      <c r="J990" s="687"/>
      <c r="K990" s="687"/>
      <c r="N990" s="685"/>
      <c r="O990" s="686"/>
      <c r="P990" s="687"/>
      <c r="Q990" s="687"/>
    </row>
    <row r="991" spans="7:17" ht="15.75" customHeight="1">
      <c r="G991" s="684"/>
      <c r="H991" s="685"/>
      <c r="I991" s="686"/>
      <c r="J991" s="687"/>
      <c r="K991" s="687"/>
      <c r="N991" s="685"/>
      <c r="O991" s="686"/>
      <c r="P991" s="687"/>
      <c r="Q991" s="687"/>
    </row>
    <row r="992" spans="7:17" ht="15.75" customHeight="1">
      <c r="G992" s="684"/>
      <c r="H992" s="685"/>
      <c r="I992" s="686"/>
      <c r="J992" s="687"/>
      <c r="K992" s="687"/>
      <c r="N992" s="685"/>
      <c r="O992" s="686"/>
      <c r="P992" s="687"/>
      <c r="Q992" s="687"/>
    </row>
    <row r="993" spans="7:17" ht="15.75" customHeight="1">
      <c r="G993" s="684"/>
      <c r="H993" s="685"/>
      <c r="I993" s="686"/>
      <c r="J993" s="687"/>
      <c r="K993" s="687"/>
      <c r="N993" s="685"/>
      <c r="O993" s="686"/>
      <c r="P993" s="687"/>
      <c r="Q993" s="687"/>
    </row>
    <row r="994" spans="7:17" ht="15.75" customHeight="1">
      <c r="G994" s="684"/>
      <c r="H994" s="685"/>
      <c r="I994" s="686"/>
      <c r="J994" s="687"/>
      <c r="K994" s="687"/>
      <c r="N994" s="685"/>
      <c r="O994" s="686"/>
      <c r="P994" s="687"/>
      <c r="Q994" s="687"/>
    </row>
    <row r="995" spans="7:17" ht="15.75" customHeight="1">
      <c r="G995" s="684"/>
      <c r="H995" s="685"/>
      <c r="I995" s="686"/>
      <c r="J995" s="687"/>
      <c r="K995" s="687"/>
      <c r="N995" s="685"/>
      <c r="O995" s="686"/>
      <c r="P995" s="687"/>
      <c r="Q995" s="687"/>
    </row>
    <row r="996" spans="7:17" ht="15.75" customHeight="1">
      <c r="G996" s="684"/>
      <c r="H996" s="685"/>
      <c r="I996" s="686"/>
      <c r="J996" s="687"/>
      <c r="K996" s="687"/>
      <c r="N996" s="685"/>
      <c r="O996" s="686"/>
      <c r="P996" s="687"/>
      <c r="Q996" s="687"/>
    </row>
    <row r="997" spans="7:17" ht="15.75" customHeight="1">
      <c r="G997" s="684"/>
      <c r="H997" s="685"/>
      <c r="I997" s="686"/>
      <c r="J997" s="687"/>
      <c r="K997" s="687"/>
      <c r="N997" s="685"/>
      <c r="O997" s="686"/>
      <c r="P997" s="687"/>
      <c r="Q997" s="687"/>
    </row>
  </sheetData>
  <mergeCells count="17">
    <mergeCell ref="B7:C7"/>
    <mergeCell ref="D7:N7"/>
    <mergeCell ref="D10:G10"/>
    <mergeCell ref="C12:N12"/>
    <mergeCell ref="B14:B23"/>
    <mergeCell ref="B8:C8"/>
    <mergeCell ref="D8:G8"/>
    <mergeCell ref="J8:N8"/>
    <mergeCell ref="B9:C9"/>
    <mergeCell ref="D9:G9"/>
    <mergeCell ref="L9:N9"/>
    <mergeCell ref="B10:C10"/>
    <mergeCell ref="B2:N2"/>
    <mergeCell ref="B4:C4"/>
    <mergeCell ref="B6:C6"/>
    <mergeCell ref="D6:G6"/>
    <mergeCell ref="L6:N6"/>
  </mergeCells>
  <conditionalFormatting sqref="C14:C20">
    <cfRule type="expression" dxfId="123" priority="21">
      <formula>$E$14&gt;0</formula>
    </cfRule>
    <cfRule type="expression" dxfId="122" priority="22">
      <formula>$C$14&gt;0</formula>
    </cfRule>
  </conditionalFormatting>
  <conditionalFormatting sqref="C15:C20">
    <cfRule type="expression" dxfId="121" priority="29">
      <formula>$E$15&gt;0</formula>
    </cfRule>
  </conditionalFormatting>
  <conditionalFormatting sqref="C16:C20">
    <cfRule type="expression" dxfId="120" priority="23">
      <formula>$E$16&gt;0</formula>
    </cfRule>
  </conditionalFormatting>
  <conditionalFormatting sqref="C17:C20">
    <cfRule type="expression" dxfId="119" priority="24">
      <formula>$E$17&gt;0</formula>
    </cfRule>
  </conditionalFormatting>
  <conditionalFormatting sqref="C18:C20">
    <cfRule type="expression" dxfId="118" priority="25">
      <formula>$E$18&gt;0</formula>
    </cfRule>
  </conditionalFormatting>
  <conditionalFormatting sqref="C19:C20">
    <cfRule type="expression" dxfId="117" priority="26">
      <formula>$E$19&gt;0</formula>
    </cfRule>
  </conditionalFormatting>
  <conditionalFormatting sqref="C20">
    <cfRule type="expression" dxfId="116" priority="27">
      <formula>$E$20&gt;0</formula>
    </cfRule>
  </conditionalFormatting>
  <conditionalFormatting sqref="C21:C22">
    <cfRule type="expression" dxfId="115" priority="28">
      <formula>$E$21&gt;0</formula>
    </cfRule>
  </conditionalFormatting>
  <conditionalFormatting sqref="E14:E20">
    <cfRule type="cellIs" dxfId="114" priority="31" operator="greaterThan">
      <formula>0</formula>
    </cfRule>
  </conditionalFormatting>
  <conditionalFormatting sqref="E15:E22">
    <cfRule type="cellIs" dxfId="113" priority="30" operator="greaterThan">
      <formula>0</formula>
    </cfRule>
  </conditionalFormatting>
  <conditionalFormatting sqref="E18:E20">
    <cfRule type="cellIs" dxfId="112" priority="34" operator="greaterThan">
      <formula>0</formula>
    </cfRule>
  </conditionalFormatting>
  <conditionalFormatting sqref="E19:E22">
    <cfRule type="cellIs" dxfId="111" priority="35" operator="greaterThan">
      <formula>0</formula>
    </cfRule>
  </conditionalFormatting>
  <conditionalFormatting sqref="E20">
    <cfRule type="cellIs" dxfId="110" priority="36" operator="greaterThan">
      <formula>0</formula>
    </cfRule>
  </conditionalFormatting>
  <conditionalFormatting sqref="H14:H20 N14:N22">
    <cfRule type="expression" dxfId="109" priority="6">
      <formula>$M$14&gt;0</formula>
    </cfRule>
  </conditionalFormatting>
  <conditionalFormatting sqref="H15:H20">
    <cfRule type="expression" dxfId="108" priority="7">
      <formula>$M$15&gt;0</formula>
    </cfRule>
  </conditionalFormatting>
  <conditionalFormatting sqref="H16:H20">
    <cfRule type="expression" dxfId="107" priority="8">
      <formula>$M$16&gt;0</formula>
    </cfRule>
  </conditionalFormatting>
  <conditionalFormatting sqref="H17:H20">
    <cfRule type="expression" dxfId="106" priority="9">
      <formula>$M$17&gt;0</formula>
    </cfRule>
  </conditionalFormatting>
  <conditionalFormatting sqref="H18:H20">
    <cfRule type="expression" dxfId="105" priority="10">
      <formula>$M$18&gt;0</formula>
    </cfRule>
  </conditionalFormatting>
  <conditionalFormatting sqref="H19:H20">
    <cfRule type="expression" dxfId="104" priority="11">
      <formula>$M$19&gt;0</formula>
    </cfRule>
  </conditionalFormatting>
  <conditionalFormatting sqref="H20">
    <cfRule type="expression" dxfId="103" priority="12">
      <formula>$M$20&gt;0</formula>
    </cfRule>
  </conditionalFormatting>
  <conditionalFormatting sqref="I18:J20">
    <cfRule type="cellIs" dxfId="102" priority="41" operator="greaterThan">
      <formula>0</formula>
    </cfRule>
  </conditionalFormatting>
  <conditionalFormatting sqref="I19:J20">
    <cfRule type="cellIs" dxfId="101" priority="42" operator="greaterThan">
      <formula>0</formula>
    </cfRule>
  </conditionalFormatting>
  <conditionalFormatting sqref="M14:M22">
    <cfRule type="cellIs" dxfId="100" priority="1" operator="greaterThan">
      <formula>0</formula>
    </cfRule>
  </conditionalFormatting>
  <conditionalFormatting sqref="M16:M22">
    <cfRule type="cellIs" dxfId="99" priority="3" operator="greaterThan">
      <formula>0</formula>
    </cfRule>
  </conditionalFormatting>
  <conditionalFormatting sqref="M17:M22">
    <cfRule type="cellIs" dxfId="98" priority="4" operator="greaterThan">
      <formula>0</formula>
    </cfRule>
  </conditionalFormatting>
  <conditionalFormatting sqref="O14:O20 Q14:Q22 I14:J20">
    <cfRule type="cellIs" dxfId="97" priority="37" operator="greaterThan">
      <formula>0</formula>
    </cfRule>
  </conditionalFormatting>
  <conditionalFormatting sqref="O14:P20 Q14:Q22">
    <cfRule type="expression" dxfId="96" priority="14">
      <formula>$M$15&gt;0</formula>
    </cfRule>
    <cfRule type="expression" dxfId="95" priority="13">
      <formula>$M$14&gt;0</formula>
    </cfRule>
  </conditionalFormatting>
  <conditionalFormatting sqref="O17:P20">
    <cfRule type="expression" dxfId="94" priority="16">
      <formula>$M$17&gt;0</formula>
    </cfRule>
  </conditionalFormatting>
  <conditionalFormatting sqref="O18:P20">
    <cfRule type="expression" dxfId="93" priority="17">
      <formula>$M$18&gt;0</formula>
    </cfRule>
  </conditionalFormatting>
  <conditionalFormatting sqref="O19:P20">
    <cfRule type="expression" dxfId="92" priority="18">
      <formula>$M$19&gt;0</formula>
    </cfRule>
  </conditionalFormatting>
  <conditionalFormatting sqref="O20:P20">
    <cfRule type="expression" dxfId="91" priority="19">
      <formula>$M$20&gt;0</formula>
    </cfRule>
  </conditionalFormatting>
  <conditionalFormatting sqref="O21:P22">
    <cfRule type="expression" dxfId="90" priority="20">
      <formula>$M$21&gt;0</formula>
    </cfRule>
  </conditionalFormatting>
  <conditionalFormatting sqref="Q14:Q22 O16:P20">
    <cfRule type="expression" dxfId="89" priority="15">
      <formula>$M$16&gt;0</formula>
    </cfRule>
  </conditionalFormatting>
  <printOptions horizontalCentered="1" verticalCentered="1"/>
  <pageMargins left="0.11811023622047245" right="0.11811023622047245" top="0.23622047244094491" bottom="0.11811023622047245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980"/>
  <sheetViews>
    <sheetView view="pageBreakPreview" zoomScale="60" zoomScaleNormal="100" workbookViewId="0"/>
  </sheetViews>
  <sheetFormatPr defaultColWidth="14.453125" defaultRowHeight="15" customHeight="1"/>
  <cols>
    <col min="1" max="1" width="4.453125" customWidth="1"/>
    <col min="2" max="2" width="74.81640625" customWidth="1"/>
    <col min="3" max="3" width="10" customWidth="1"/>
    <col min="4" max="4" width="11.54296875" customWidth="1"/>
    <col min="5" max="5" width="13.81640625" customWidth="1"/>
    <col min="6" max="6" width="15.26953125" customWidth="1"/>
    <col min="7" max="7" width="15.7265625" customWidth="1"/>
    <col min="8" max="8" width="14.26953125" customWidth="1"/>
    <col min="9" max="9" width="26.08984375" customWidth="1"/>
    <col min="12" max="31" width="14.453125" hidden="1"/>
  </cols>
  <sheetData>
    <row r="1" spans="1:31" ht="18" customHeight="1">
      <c r="A1" s="688" t="b">
        <v>1</v>
      </c>
      <c r="B1" s="1548" t="s">
        <v>285</v>
      </c>
      <c r="C1" s="1419"/>
      <c r="D1" s="1419"/>
      <c r="E1" s="1419"/>
      <c r="F1" s="1419"/>
      <c r="G1" s="1419"/>
      <c r="H1" s="1419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  <c r="T1" s="690"/>
      <c r="U1" s="690"/>
      <c r="V1" s="690"/>
      <c r="W1" s="690"/>
      <c r="X1" s="690"/>
      <c r="Y1" s="690"/>
      <c r="Z1" s="690"/>
      <c r="AA1" s="690"/>
      <c r="AB1" s="690"/>
      <c r="AC1" s="690"/>
      <c r="AD1" s="690"/>
      <c r="AE1" s="690"/>
    </row>
    <row r="2" spans="1:31" ht="9.75" customHeight="1">
      <c r="A2" s="688"/>
      <c r="B2" s="689"/>
      <c r="C2" s="689"/>
      <c r="D2" s="691"/>
      <c r="E2" s="689"/>
      <c r="F2" s="689"/>
      <c r="G2" s="689"/>
      <c r="H2" s="689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  <c r="X2" s="690"/>
      <c r="Y2" s="690"/>
      <c r="Z2" s="690"/>
      <c r="AA2" s="690"/>
      <c r="AB2" s="690"/>
      <c r="AC2" s="690"/>
      <c r="AD2" s="690"/>
      <c r="AE2" s="690"/>
    </row>
    <row r="3" spans="1:31" ht="10.5" customHeight="1">
      <c r="A3" s="688"/>
      <c r="B3" s="692" t="s">
        <v>2</v>
      </c>
      <c r="C3" s="689"/>
      <c r="D3" s="691"/>
      <c r="E3" s="689"/>
      <c r="F3" s="689"/>
      <c r="G3" s="689"/>
      <c r="H3" s="689"/>
      <c r="I3" s="690"/>
      <c r="J3" s="690"/>
      <c r="K3" s="690"/>
      <c r="L3" s="690"/>
      <c r="M3" s="690"/>
      <c r="N3" s="690"/>
      <c r="O3" s="690"/>
      <c r="P3" s="690"/>
      <c r="Q3" s="690"/>
      <c r="R3" s="690"/>
      <c r="S3" s="690"/>
      <c r="T3" s="690"/>
      <c r="U3" s="690"/>
      <c r="V3" s="690"/>
      <c r="W3" s="690"/>
      <c r="X3" s="690"/>
      <c r="Y3" s="690"/>
      <c r="Z3" s="690"/>
      <c r="AA3" s="690"/>
      <c r="AB3" s="690"/>
      <c r="AC3" s="690"/>
      <c r="AD3" s="690"/>
      <c r="AE3" s="690"/>
    </row>
    <row r="4" spans="1:31" ht="30" customHeight="1">
      <c r="A4" s="688"/>
      <c r="B4" s="1549" t="s">
        <v>286</v>
      </c>
      <c r="C4" s="1477"/>
      <c r="D4" s="1477"/>
      <c r="E4" s="1477"/>
      <c r="F4" s="1477"/>
      <c r="G4" s="1477"/>
      <c r="H4" s="1477"/>
      <c r="I4" s="1477"/>
      <c r="J4" s="1478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693"/>
      <c r="AC4" s="693"/>
      <c r="AD4" s="693"/>
      <c r="AE4" s="693"/>
    </row>
    <row r="5" spans="1:31" ht="14.5">
      <c r="A5" s="1550" t="s">
        <v>287</v>
      </c>
      <c r="B5" s="1456"/>
      <c r="C5" s="1456"/>
      <c r="D5" s="1456"/>
      <c r="E5" s="1456"/>
      <c r="F5" s="1456"/>
      <c r="G5" s="1456"/>
      <c r="H5" s="1475"/>
      <c r="I5" s="690"/>
      <c r="J5" s="690"/>
      <c r="K5" s="690"/>
      <c r="L5" s="690"/>
      <c r="M5" s="690"/>
      <c r="N5" s="690"/>
      <c r="O5" s="690"/>
      <c r="P5" s="690"/>
      <c r="Q5" s="690"/>
      <c r="R5" s="690"/>
      <c r="S5" s="690"/>
      <c r="T5" s="690"/>
      <c r="U5" s="690"/>
      <c r="V5" s="690"/>
      <c r="W5" s="690"/>
      <c r="X5" s="690"/>
      <c r="Y5" s="690"/>
      <c r="Z5" s="690"/>
      <c r="AA5" s="690"/>
      <c r="AB5" s="690"/>
      <c r="AC5" s="690"/>
      <c r="AD5" s="690"/>
      <c r="AE5" s="690"/>
    </row>
    <row r="6" spans="1:31" ht="81" customHeight="1">
      <c r="A6" s="694" t="s">
        <v>288</v>
      </c>
      <c r="B6" s="694" t="b">
        <v>1</v>
      </c>
      <c r="C6" s="694" t="s">
        <v>289</v>
      </c>
      <c r="D6" s="694" t="s">
        <v>290</v>
      </c>
      <c r="E6" s="694" t="s">
        <v>291</v>
      </c>
      <c r="F6" s="694" t="s">
        <v>292</v>
      </c>
      <c r="G6" s="1551" t="s">
        <v>293</v>
      </c>
      <c r="H6" s="1478"/>
      <c r="I6" s="694" t="s">
        <v>294</v>
      </c>
      <c r="J6" s="696" t="s">
        <v>295</v>
      </c>
      <c r="K6" s="697"/>
      <c r="L6" s="698" t="s">
        <v>296</v>
      </c>
      <c r="M6" s="699" t="s">
        <v>289</v>
      </c>
      <c r="N6" s="699" t="s">
        <v>297</v>
      </c>
      <c r="O6" s="699" t="s">
        <v>298</v>
      </c>
      <c r="P6" s="699" t="s">
        <v>299</v>
      </c>
      <c r="Q6" s="110" t="s">
        <v>58</v>
      </c>
      <c r="R6" s="230" t="s">
        <v>69</v>
      </c>
      <c r="S6" s="230" t="s">
        <v>72</v>
      </c>
      <c r="T6" s="230" t="s">
        <v>74</v>
      </c>
      <c r="U6" s="230" t="s">
        <v>76</v>
      </c>
      <c r="V6" s="230" t="s">
        <v>78</v>
      </c>
      <c r="W6" s="230" t="s">
        <v>81</v>
      </c>
      <c r="X6" s="230" t="s">
        <v>84</v>
      </c>
      <c r="Y6" s="230" t="s">
        <v>86</v>
      </c>
      <c r="Z6" s="230" t="s">
        <v>88</v>
      </c>
      <c r="AA6" s="230" t="s">
        <v>91</v>
      </c>
      <c r="AB6" s="230" t="s">
        <v>92</v>
      </c>
      <c r="AC6" s="230" t="s">
        <v>82</v>
      </c>
      <c r="AD6" s="230" t="s">
        <v>89</v>
      </c>
      <c r="AE6" s="110" t="s">
        <v>67</v>
      </c>
    </row>
    <row r="7" spans="1:31" ht="15.75" customHeight="1">
      <c r="A7" s="700">
        <v>1</v>
      </c>
      <c r="B7" s="701" t="s">
        <v>300</v>
      </c>
      <c r="C7" s="702" t="s">
        <v>289</v>
      </c>
      <c r="D7" s="703">
        <v>30.43</v>
      </c>
      <c r="E7" s="704">
        <f>HLOOKUP('1-ABA-DE-CARREGAMENTO'!$C$14,$L$6:$AE$9,3,0)</f>
        <v>0</v>
      </c>
      <c r="F7" s="703">
        <f>D7*E7</f>
        <v>0</v>
      </c>
      <c r="G7" s="700">
        <v>10</v>
      </c>
      <c r="H7" s="700" t="s">
        <v>301</v>
      </c>
      <c r="I7" s="705">
        <f t="shared" ref="I7:I8" si="0">F7/G7</f>
        <v>0</v>
      </c>
      <c r="J7" s="706" t="s">
        <v>302</v>
      </c>
      <c r="K7" s="690"/>
      <c r="L7" s="707"/>
      <c r="M7" s="708"/>
      <c r="N7" s="708"/>
      <c r="O7" s="708"/>
      <c r="P7" s="707"/>
      <c r="Q7" s="707"/>
      <c r="R7" s="707"/>
      <c r="S7" s="707"/>
      <c r="T7" s="707"/>
      <c r="U7" s="707"/>
      <c r="V7" s="709"/>
      <c r="W7" s="709"/>
      <c r="X7" s="707"/>
      <c r="Y7" s="707"/>
      <c r="Z7" s="707"/>
      <c r="AA7" s="707"/>
      <c r="AB7" s="707"/>
      <c r="AC7" s="707"/>
      <c r="AD7" s="707"/>
      <c r="AE7" s="707"/>
    </row>
    <row r="8" spans="1:31" ht="15.75" customHeight="1">
      <c r="A8" s="700">
        <v>2</v>
      </c>
      <c r="B8" s="707" t="s">
        <v>303</v>
      </c>
      <c r="C8" s="708" t="s">
        <v>289</v>
      </c>
      <c r="D8" s="703">
        <v>17.21</v>
      </c>
      <c r="E8" s="704">
        <f>HLOOKUP('1-ABA-DE-CARREGAMENTO'!$C$14,$L$6:$AE$9,4,0)</f>
        <v>1</v>
      </c>
      <c r="F8" s="703">
        <f>D8</f>
        <v>17.21</v>
      </c>
      <c r="G8" s="700">
        <v>10</v>
      </c>
      <c r="H8" s="700" t="s">
        <v>301</v>
      </c>
      <c r="I8" s="705">
        <f t="shared" si="0"/>
        <v>1.7210000000000001</v>
      </c>
      <c r="J8" s="706" t="s">
        <v>302</v>
      </c>
      <c r="K8" s="690"/>
      <c r="L8" s="710" t="s">
        <v>304</v>
      </c>
      <c r="M8" s="702" t="s">
        <v>289</v>
      </c>
      <c r="N8" s="702">
        <v>4</v>
      </c>
      <c r="O8" s="702" t="s">
        <v>305</v>
      </c>
      <c r="P8" s="710" t="s">
        <v>306</v>
      </c>
      <c r="Q8" s="710">
        <v>0</v>
      </c>
      <c r="R8" s="710">
        <v>4</v>
      </c>
      <c r="S8" s="710">
        <v>4</v>
      </c>
      <c r="T8" s="710">
        <v>0</v>
      </c>
      <c r="U8" s="710">
        <v>0</v>
      </c>
      <c r="V8" s="711"/>
      <c r="W8" s="711"/>
      <c r="X8" s="710">
        <v>4</v>
      </c>
      <c r="Y8" s="710">
        <v>0</v>
      </c>
      <c r="Z8" s="710">
        <v>0</v>
      </c>
      <c r="AA8" s="710">
        <v>0</v>
      </c>
      <c r="AB8" s="710">
        <v>4</v>
      </c>
      <c r="AC8" s="710">
        <v>4</v>
      </c>
      <c r="AD8" s="710">
        <v>0</v>
      </c>
      <c r="AE8" s="710">
        <v>0</v>
      </c>
    </row>
    <row r="9" spans="1:31" ht="15.75" customHeight="1">
      <c r="A9" s="1552" t="s">
        <v>307</v>
      </c>
      <c r="B9" s="1478"/>
      <c r="C9" s="712"/>
      <c r="D9" s="713"/>
      <c r="E9" s="704">
        <f>HLOOKUP('1-ABA-DE-CARREGAMENTO'!C16,L8:AE11,3,0)</f>
        <v>0</v>
      </c>
      <c r="F9" s="713">
        <f>F7</f>
        <v>0</v>
      </c>
      <c r="G9" s="713"/>
      <c r="H9" s="714"/>
      <c r="I9" s="714">
        <f>SUM(I7:I8)</f>
        <v>1.7210000000000001</v>
      </c>
      <c r="J9" s="690"/>
      <c r="K9" s="690"/>
      <c r="L9" s="707" t="s">
        <v>303</v>
      </c>
      <c r="M9" s="708" t="s">
        <v>289</v>
      </c>
      <c r="N9" s="708">
        <v>1</v>
      </c>
      <c r="O9" s="708" t="s">
        <v>305</v>
      </c>
      <c r="P9" s="707" t="s">
        <v>306</v>
      </c>
      <c r="Q9" s="707">
        <v>1</v>
      </c>
      <c r="R9" s="707">
        <v>1</v>
      </c>
      <c r="S9" s="707">
        <v>1</v>
      </c>
      <c r="T9" s="707">
        <v>1</v>
      </c>
      <c r="U9" s="707">
        <v>1</v>
      </c>
      <c r="V9" s="709"/>
      <c r="W9" s="709"/>
      <c r="X9" s="707">
        <v>1</v>
      </c>
      <c r="Y9" s="707">
        <v>1</v>
      </c>
      <c r="Z9" s="707">
        <v>1</v>
      </c>
      <c r="AA9" s="707">
        <v>1</v>
      </c>
      <c r="AB9" s="707">
        <v>1</v>
      </c>
      <c r="AC9" s="707">
        <v>1</v>
      </c>
      <c r="AD9" s="707">
        <v>1</v>
      </c>
      <c r="AE9" s="707">
        <v>1</v>
      </c>
    </row>
    <row r="10" spans="1:31" ht="15.75" customHeight="1">
      <c r="A10" s="715"/>
      <c r="B10" s="715"/>
      <c r="C10" s="715"/>
      <c r="D10" s="715"/>
      <c r="E10" s="715"/>
      <c r="F10" s="715"/>
      <c r="G10" s="715"/>
      <c r="H10" s="715"/>
      <c r="I10" s="690"/>
      <c r="J10" s="690"/>
      <c r="K10" s="690"/>
      <c r="L10" s="690"/>
      <c r="M10" s="690"/>
      <c r="N10" s="690"/>
      <c r="O10" s="690"/>
      <c r="P10" s="690"/>
      <c r="Q10" s="690"/>
      <c r="R10" s="690"/>
      <c r="S10" s="690"/>
      <c r="T10" s="690"/>
      <c r="U10" s="690"/>
      <c r="V10" s="690"/>
      <c r="W10" s="690"/>
      <c r="X10" s="690"/>
      <c r="Y10" s="690"/>
      <c r="Z10" s="690"/>
      <c r="AA10" s="690"/>
      <c r="AB10" s="690"/>
      <c r="AC10" s="690"/>
      <c r="AD10" s="690"/>
      <c r="AE10" s="690"/>
    </row>
    <row r="11" spans="1:31" ht="15.75" customHeight="1">
      <c r="A11" s="715"/>
      <c r="B11" s="715"/>
      <c r="C11" s="715"/>
      <c r="D11" s="715"/>
      <c r="E11" s="715"/>
      <c r="F11" s="715"/>
      <c r="G11" s="715"/>
      <c r="H11" s="715"/>
      <c r="I11" s="690"/>
      <c r="J11" s="690"/>
      <c r="K11" s="690"/>
      <c r="L11" s="690"/>
      <c r="M11" s="690"/>
      <c r="N11" s="690"/>
      <c r="O11" s="690"/>
      <c r="P11" s="690"/>
      <c r="Q11" s="690"/>
      <c r="R11" s="690"/>
      <c r="S11" s="690"/>
      <c r="T11" s="690"/>
      <c r="U11" s="690"/>
      <c r="V11" s="690"/>
      <c r="W11" s="690"/>
      <c r="X11" s="690"/>
      <c r="Y11" s="690"/>
      <c r="Z11" s="690"/>
      <c r="AA11" s="690"/>
      <c r="AB11" s="690"/>
      <c r="AC11" s="690"/>
      <c r="AD11" s="690"/>
      <c r="AE11" s="690"/>
    </row>
    <row r="12" spans="1:31" ht="15.75" customHeight="1">
      <c r="A12" s="715"/>
      <c r="B12" s="715"/>
      <c r="C12" s="715"/>
      <c r="D12" s="715"/>
      <c r="E12" s="715"/>
      <c r="F12" s="715"/>
      <c r="G12" s="715"/>
      <c r="H12" s="715"/>
      <c r="I12" s="690"/>
      <c r="J12" s="690"/>
      <c r="K12" s="690"/>
      <c r="L12" s="690"/>
      <c r="M12" s="690"/>
      <c r="N12" s="690"/>
      <c r="O12" s="690"/>
      <c r="P12" s="690"/>
      <c r="Q12" s="690"/>
      <c r="R12" s="690"/>
      <c r="S12" s="690"/>
      <c r="T12" s="690"/>
      <c r="U12" s="690"/>
      <c r="V12" s="690"/>
      <c r="W12" s="690"/>
      <c r="X12" s="690"/>
      <c r="Y12" s="690"/>
      <c r="Z12" s="690"/>
      <c r="AA12" s="690"/>
      <c r="AB12" s="690"/>
      <c r="AC12" s="690"/>
      <c r="AD12" s="690"/>
      <c r="AE12" s="690"/>
    </row>
    <row r="13" spans="1:31" ht="15.75" customHeight="1">
      <c r="A13" s="715"/>
      <c r="B13" s="715"/>
      <c r="C13" s="715"/>
      <c r="D13" s="715"/>
      <c r="E13" s="715"/>
      <c r="F13" s="715"/>
      <c r="G13" s="715"/>
      <c r="H13" s="715"/>
      <c r="I13" s="690"/>
      <c r="J13" s="690"/>
      <c r="K13" s="690"/>
      <c r="L13" s="690"/>
      <c r="M13" s="690"/>
      <c r="N13" s="690"/>
      <c r="O13" s="690"/>
      <c r="P13" s="690"/>
      <c r="Q13" s="690"/>
      <c r="R13" s="690"/>
      <c r="S13" s="690"/>
      <c r="T13" s="690"/>
      <c r="U13" s="690"/>
      <c r="V13" s="690"/>
      <c r="W13" s="690"/>
      <c r="X13" s="690"/>
      <c r="Y13" s="690"/>
      <c r="Z13" s="690"/>
      <c r="AA13" s="690"/>
      <c r="AB13" s="690"/>
      <c r="AC13" s="690"/>
      <c r="AD13" s="690"/>
      <c r="AE13" s="690"/>
    </row>
    <row r="14" spans="1:31" ht="15.75" customHeight="1">
      <c r="A14" s="715"/>
      <c r="B14" s="715"/>
      <c r="C14" s="715"/>
      <c r="D14" s="715"/>
      <c r="E14" s="715"/>
      <c r="F14" s="715"/>
      <c r="G14" s="715"/>
      <c r="H14" s="715"/>
      <c r="I14" s="690"/>
      <c r="J14" s="690"/>
      <c r="K14" s="690"/>
      <c r="L14" s="690"/>
      <c r="M14" s="690"/>
      <c r="N14" s="690"/>
      <c r="O14" s="690"/>
      <c r="P14" s="690"/>
      <c r="Q14" s="690"/>
      <c r="R14" s="690"/>
      <c r="S14" s="690"/>
      <c r="T14" s="690"/>
      <c r="U14" s="690"/>
      <c r="V14" s="690"/>
      <c r="W14" s="690"/>
      <c r="X14" s="690"/>
      <c r="Y14" s="690"/>
      <c r="Z14" s="690"/>
      <c r="AA14" s="690"/>
      <c r="AB14" s="690"/>
      <c r="AC14" s="690"/>
      <c r="AD14" s="690"/>
      <c r="AE14" s="690"/>
    </row>
    <row r="15" spans="1:31" ht="15.75" customHeight="1">
      <c r="A15" s="715"/>
      <c r="B15" s="715"/>
      <c r="C15" s="715"/>
      <c r="D15" s="715"/>
      <c r="E15" s="715"/>
      <c r="F15" s="715"/>
      <c r="G15" s="715"/>
      <c r="H15" s="715"/>
      <c r="I15" s="690"/>
      <c r="J15" s="690"/>
      <c r="K15" s="690"/>
      <c r="L15" s="690"/>
      <c r="M15" s="690"/>
      <c r="N15" s="690"/>
      <c r="O15" s="690"/>
      <c r="P15" s="690"/>
      <c r="Q15" s="690"/>
      <c r="R15" s="690"/>
      <c r="S15" s="690"/>
      <c r="T15" s="690"/>
      <c r="U15" s="690"/>
      <c r="V15" s="690"/>
      <c r="W15" s="690"/>
      <c r="X15" s="690"/>
      <c r="Y15" s="690"/>
      <c r="Z15" s="690"/>
      <c r="AA15" s="690"/>
      <c r="AB15" s="690"/>
      <c r="AC15" s="690"/>
      <c r="AD15" s="690"/>
      <c r="AE15" s="690"/>
    </row>
    <row r="16" spans="1:31" ht="15.75" customHeight="1">
      <c r="A16" s="715"/>
      <c r="B16" s="715"/>
      <c r="C16" s="715"/>
      <c r="D16" s="715"/>
      <c r="E16" s="715"/>
      <c r="F16" s="715"/>
      <c r="G16" s="715"/>
      <c r="H16" s="715"/>
      <c r="I16" s="690"/>
      <c r="J16" s="690"/>
      <c r="K16" s="690"/>
      <c r="L16" s="690"/>
      <c r="M16" s="690"/>
      <c r="N16" s="690"/>
      <c r="O16" s="690"/>
      <c r="P16" s="690"/>
      <c r="Q16" s="690"/>
      <c r="R16" s="690"/>
      <c r="S16" s="690"/>
      <c r="T16" s="690"/>
      <c r="U16" s="690"/>
      <c r="V16" s="690"/>
      <c r="W16" s="690"/>
      <c r="X16" s="690"/>
      <c r="Y16" s="690"/>
      <c r="Z16" s="690"/>
      <c r="AA16" s="690"/>
      <c r="AB16" s="690"/>
      <c r="AC16" s="690"/>
      <c r="AD16" s="690"/>
      <c r="AE16" s="690"/>
    </row>
    <row r="17" spans="1:31" ht="15.75" customHeight="1">
      <c r="A17" s="715"/>
      <c r="B17" s="715"/>
      <c r="C17" s="715"/>
      <c r="D17" s="715"/>
      <c r="E17" s="715"/>
      <c r="F17" s="715"/>
      <c r="G17" s="715"/>
      <c r="H17" s="715"/>
      <c r="I17" s="690"/>
      <c r="J17" s="690"/>
      <c r="K17" s="690"/>
      <c r="L17" s="690"/>
      <c r="M17" s="690"/>
      <c r="N17" s="690"/>
      <c r="O17" s="690"/>
      <c r="P17" s="690"/>
      <c r="Q17" s="690"/>
      <c r="R17" s="690"/>
      <c r="S17" s="690"/>
      <c r="T17" s="690"/>
      <c r="U17" s="690"/>
      <c r="V17" s="690"/>
      <c r="W17" s="690"/>
      <c r="X17" s="690"/>
      <c r="Y17" s="690"/>
      <c r="Z17" s="690"/>
      <c r="AA17" s="690"/>
      <c r="AB17" s="690"/>
      <c r="AC17" s="690"/>
      <c r="AD17" s="690"/>
      <c r="AE17" s="690"/>
    </row>
    <row r="18" spans="1:31" ht="15.75" customHeight="1">
      <c r="A18" s="715"/>
      <c r="B18" s="715"/>
      <c r="C18" s="715"/>
      <c r="D18" s="715"/>
      <c r="E18" s="715"/>
      <c r="F18" s="715"/>
      <c r="G18" s="715"/>
      <c r="H18" s="715"/>
      <c r="I18" s="690"/>
      <c r="J18" s="690"/>
      <c r="K18" s="690"/>
      <c r="L18" s="690"/>
      <c r="M18" s="690"/>
      <c r="N18" s="690"/>
      <c r="O18" s="690"/>
      <c r="P18" s="690"/>
      <c r="Q18" s="690"/>
      <c r="R18" s="690"/>
      <c r="S18" s="690"/>
      <c r="T18" s="690"/>
      <c r="U18" s="690"/>
      <c r="V18" s="690"/>
      <c r="W18" s="690"/>
      <c r="X18" s="690"/>
      <c r="Y18" s="690"/>
      <c r="Z18" s="690"/>
      <c r="AA18" s="690"/>
      <c r="AB18" s="690"/>
      <c r="AC18" s="690"/>
      <c r="AD18" s="690"/>
      <c r="AE18" s="690"/>
    </row>
    <row r="19" spans="1:31" ht="15.75" customHeight="1">
      <c r="A19" s="715"/>
      <c r="B19" s="715"/>
      <c r="C19" s="715"/>
      <c r="D19" s="715"/>
      <c r="E19" s="715"/>
      <c r="F19" s="715"/>
      <c r="G19" s="715"/>
      <c r="H19" s="715"/>
      <c r="I19" s="690"/>
      <c r="J19" s="690"/>
      <c r="K19" s="690"/>
      <c r="L19" s="690"/>
      <c r="M19" s="690"/>
      <c r="N19" s="690"/>
      <c r="O19" s="690"/>
      <c r="P19" s="690"/>
      <c r="Q19" s="690"/>
      <c r="R19" s="690"/>
      <c r="S19" s="690"/>
      <c r="T19" s="690"/>
      <c r="U19" s="690"/>
      <c r="V19" s="690"/>
      <c r="W19" s="690"/>
      <c r="X19" s="690"/>
      <c r="Y19" s="690"/>
      <c r="Z19" s="690"/>
      <c r="AA19" s="690"/>
      <c r="AB19" s="690"/>
      <c r="AC19" s="690"/>
      <c r="AD19" s="690"/>
      <c r="AE19" s="690"/>
    </row>
    <row r="20" spans="1:31" ht="15.75" customHeight="1">
      <c r="A20" s="715"/>
      <c r="B20" s="715"/>
      <c r="C20" s="715"/>
      <c r="D20" s="715"/>
      <c r="E20" s="715"/>
      <c r="F20" s="715"/>
      <c r="G20" s="715"/>
      <c r="H20" s="715"/>
      <c r="I20" s="690"/>
      <c r="J20" s="690"/>
      <c r="K20" s="690"/>
      <c r="L20" s="690"/>
      <c r="M20" s="690"/>
      <c r="N20" s="690"/>
      <c r="O20" s="690"/>
      <c r="P20" s="690"/>
      <c r="Q20" s="690"/>
      <c r="R20" s="690"/>
      <c r="S20" s="690"/>
      <c r="T20" s="690"/>
      <c r="U20" s="690"/>
      <c r="V20" s="690"/>
      <c r="W20" s="690"/>
      <c r="X20" s="690"/>
      <c r="Y20" s="690"/>
      <c r="Z20" s="690"/>
      <c r="AA20" s="690"/>
      <c r="AB20" s="690"/>
      <c r="AC20" s="690"/>
      <c r="AD20" s="690"/>
      <c r="AE20" s="690"/>
    </row>
    <row r="21" spans="1:31" ht="15.75" customHeight="1">
      <c r="A21" s="715"/>
      <c r="B21" s="715"/>
      <c r="C21" s="715"/>
      <c r="D21" s="715"/>
      <c r="E21" s="715"/>
      <c r="F21" s="715"/>
      <c r="G21" s="715"/>
      <c r="H21" s="715"/>
      <c r="I21" s="690"/>
      <c r="J21" s="690"/>
      <c r="K21" s="690"/>
      <c r="L21" s="690"/>
      <c r="M21" s="690"/>
      <c r="N21" s="690"/>
      <c r="O21" s="690"/>
      <c r="P21" s="690"/>
      <c r="Q21" s="690"/>
      <c r="R21" s="690"/>
      <c r="S21" s="690"/>
      <c r="T21" s="690"/>
      <c r="U21" s="690"/>
      <c r="V21" s="690"/>
      <c r="W21" s="690"/>
      <c r="X21" s="690"/>
      <c r="Y21" s="690"/>
      <c r="Z21" s="690"/>
      <c r="AA21" s="690"/>
      <c r="AB21" s="690"/>
      <c r="AC21" s="690"/>
      <c r="AD21" s="690"/>
      <c r="AE21" s="690"/>
    </row>
    <row r="22" spans="1:31" ht="15.75" customHeight="1">
      <c r="A22" s="715"/>
      <c r="B22" s="715"/>
      <c r="C22" s="715"/>
      <c r="D22" s="715"/>
      <c r="E22" s="715"/>
      <c r="F22" s="715"/>
      <c r="G22" s="715"/>
      <c r="H22" s="715"/>
      <c r="I22" s="690"/>
      <c r="J22" s="690"/>
      <c r="K22" s="690"/>
      <c r="L22" s="690"/>
      <c r="M22" s="690"/>
      <c r="N22" s="690"/>
      <c r="O22" s="690"/>
      <c r="P22" s="690"/>
      <c r="Q22" s="690"/>
      <c r="R22" s="690"/>
      <c r="S22" s="690"/>
      <c r="T22" s="690"/>
      <c r="U22" s="690"/>
      <c r="V22" s="690"/>
      <c r="W22" s="690"/>
      <c r="X22" s="690"/>
      <c r="Y22" s="690"/>
      <c r="Z22" s="690"/>
      <c r="AA22" s="690"/>
      <c r="AB22" s="690"/>
      <c r="AC22" s="690"/>
      <c r="AD22" s="690"/>
      <c r="AE22" s="690"/>
    </row>
    <row r="23" spans="1:31" ht="15.75" customHeight="1">
      <c r="A23" s="715"/>
      <c r="B23" s="715"/>
      <c r="C23" s="715"/>
      <c r="D23" s="715"/>
      <c r="E23" s="715"/>
      <c r="F23" s="715"/>
      <c r="G23" s="715"/>
      <c r="H23" s="715"/>
      <c r="I23" s="690"/>
      <c r="J23" s="690"/>
      <c r="K23" s="690"/>
      <c r="L23" s="690"/>
      <c r="M23" s="690"/>
      <c r="N23" s="690"/>
      <c r="O23" s="690"/>
      <c r="P23" s="690"/>
      <c r="Q23" s="690"/>
      <c r="R23" s="690"/>
      <c r="S23" s="690"/>
      <c r="T23" s="690"/>
      <c r="U23" s="690"/>
      <c r="V23" s="690"/>
      <c r="W23" s="690"/>
      <c r="X23" s="690"/>
      <c r="Y23" s="690"/>
      <c r="Z23" s="690"/>
      <c r="AA23" s="690"/>
      <c r="AB23" s="690"/>
      <c r="AC23" s="690"/>
      <c r="AD23" s="690"/>
      <c r="AE23" s="690"/>
    </row>
    <row r="24" spans="1:31" ht="15.75" customHeight="1">
      <c r="A24" s="715"/>
      <c r="B24" s="715"/>
      <c r="C24" s="715"/>
      <c r="D24" s="715"/>
      <c r="E24" s="715"/>
      <c r="F24" s="715"/>
      <c r="G24" s="715"/>
      <c r="H24" s="715"/>
      <c r="I24" s="690"/>
      <c r="J24" s="690"/>
      <c r="K24" s="690"/>
      <c r="L24" s="690"/>
      <c r="M24" s="690"/>
      <c r="N24" s="690"/>
      <c r="O24" s="690"/>
      <c r="P24" s="690"/>
      <c r="Q24" s="690"/>
      <c r="R24" s="690"/>
      <c r="S24" s="690"/>
      <c r="T24" s="690"/>
      <c r="U24" s="690"/>
      <c r="V24" s="690"/>
      <c r="W24" s="690"/>
      <c r="X24" s="690"/>
      <c r="Y24" s="690"/>
      <c r="Z24" s="690"/>
      <c r="AA24" s="690"/>
      <c r="AB24" s="690"/>
      <c r="AC24" s="690"/>
      <c r="AD24" s="690"/>
      <c r="AE24" s="690"/>
    </row>
    <row r="25" spans="1:31" ht="15.75" customHeight="1">
      <c r="A25" s="715"/>
      <c r="B25" s="715"/>
      <c r="C25" s="715"/>
      <c r="D25" s="715"/>
      <c r="E25" s="715"/>
      <c r="F25" s="715"/>
      <c r="G25" s="715"/>
      <c r="H25" s="715"/>
      <c r="I25" s="690"/>
      <c r="J25" s="690"/>
      <c r="K25" s="690"/>
      <c r="L25" s="690"/>
      <c r="M25" s="690"/>
      <c r="N25" s="690"/>
      <c r="O25" s="690"/>
      <c r="P25" s="690"/>
      <c r="Q25" s="690"/>
      <c r="R25" s="690"/>
      <c r="S25" s="690"/>
      <c r="T25" s="690"/>
      <c r="U25" s="690"/>
      <c r="V25" s="690"/>
      <c r="W25" s="690"/>
      <c r="X25" s="690"/>
      <c r="Y25" s="690"/>
      <c r="Z25" s="690"/>
      <c r="AA25" s="690"/>
      <c r="AB25" s="690"/>
      <c r="AC25" s="690"/>
      <c r="AD25" s="690"/>
      <c r="AE25" s="690"/>
    </row>
    <row r="26" spans="1:31" ht="15.75" customHeight="1">
      <c r="A26" s="715"/>
      <c r="B26" s="715"/>
      <c r="C26" s="715"/>
      <c r="D26" s="715"/>
      <c r="E26" s="715"/>
      <c r="F26" s="715"/>
      <c r="G26" s="715"/>
      <c r="H26" s="715"/>
      <c r="I26" s="690"/>
      <c r="J26" s="690"/>
      <c r="K26" s="690"/>
      <c r="L26" s="690"/>
      <c r="M26" s="690"/>
      <c r="N26" s="690"/>
      <c r="O26" s="690"/>
      <c r="P26" s="690"/>
      <c r="Q26" s="690"/>
      <c r="R26" s="690"/>
      <c r="S26" s="690"/>
      <c r="T26" s="690"/>
      <c r="U26" s="690"/>
      <c r="V26" s="690"/>
      <c r="W26" s="690"/>
      <c r="X26" s="690"/>
      <c r="Y26" s="690"/>
      <c r="Z26" s="690"/>
      <c r="AA26" s="690"/>
      <c r="AB26" s="690"/>
      <c r="AC26" s="690"/>
      <c r="AD26" s="690"/>
      <c r="AE26" s="690"/>
    </row>
    <row r="27" spans="1:31" ht="15.75" customHeight="1">
      <c r="A27" s="715"/>
      <c r="B27" s="715"/>
      <c r="C27" s="715"/>
      <c r="D27" s="715"/>
      <c r="E27" s="715"/>
      <c r="F27" s="715"/>
      <c r="G27" s="715"/>
      <c r="H27" s="715"/>
      <c r="I27" s="690"/>
      <c r="J27" s="690"/>
      <c r="K27" s="690"/>
      <c r="L27" s="690"/>
      <c r="M27" s="690"/>
      <c r="N27" s="690"/>
      <c r="O27" s="690"/>
      <c r="P27" s="690"/>
      <c r="Q27" s="690"/>
      <c r="R27" s="690"/>
      <c r="S27" s="690"/>
      <c r="T27" s="690"/>
      <c r="U27" s="690"/>
      <c r="V27" s="690"/>
      <c r="W27" s="690"/>
      <c r="X27" s="690"/>
      <c r="Y27" s="690"/>
      <c r="Z27" s="690"/>
      <c r="AA27" s="690"/>
      <c r="AB27" s="690"/>
      <c r="AC27" s="690"/>
      <c r="AD27" s="690"/>
      <c r="AE27" s="690"/>
    </row>
    <row r="28" spans="1:31" ht="15.75" customHeight="1">
      <c r="A28" s="715"/>
      <c r="B28" s="715"/>
      <c r="C28" s="715"/>
      <c r="D28" s="715"/>
      <c r="E28" s="715"/>
      <c r="F28" s="715"/>
      <c r="G28" s="715"/>
      <c r="H28" s="715"/>
      <c r="I28" s="690"/>
      <c r="J28" s="690"/>
      <c r="K28" s="690"/>
      <c r="L28" s="690"/>
      <c r="M28" s="690"/>
      <c r="N28" s="690"/>
      <c r="O28" s="690"/>
      <c r="P28" s="690"/>
      <c r="Q28" s="690"/>
      <c r="R28" s="690"/>
      <c r="S28" s="690"/>
      <c r="T28" s="690"/>
      <c r="U28" s="690"/>
      <c r="V28" s="690"/>
      <c r="W28" s="690"/>
      <c r="X28" s="690"/>
      <c r="Y28" s="690"/>
      <c r="Z28" s="690"/>
      <c r="AA28" s="690"/>
      <c r="AB28" s="690"/>
      <c r="AC28" s="690"/>
      <c r="AD28" s="690"/>
      <c r="AE28" s="690"/>
    </row>
    <row r="29" spans="1:31" ht="15.75" customHeight="1">
      <c r="A29" s="715"/>
      <c r="B29" s="715"/>
      <c r="C29" s="715"/>
      <c r="D29" s="715"/>
      <c r="E29" s="715"/>
      <c r="F29" s="715"/>
      <c r="G29" s="715"/>
      <c r="H29" s="715"/>
      <c r="I29" s="690"/>
      <c r="J29" s="690"/>
      <c r="K29" s="690"/>
      <c r="L29" s="690"/>
      <c r="M29" s="690"/>
      <c r="N29" s="690"/>
      <c r="O29" s="690"/>
      <c r="P29" s="690"/>
      <c r="Q29" s="690"/>
      <c r="R29" s="690"/>
      <c r="S29" s="690"/>
      <c r="T29" s="690"/>
      <c r="U29" s="690"/>
      <c r="V29" s="690"/>
      <c r="W29" s="690"/>
      <c r="X29" s="690"/>
      <c r="Y29" s="690"/>
      <c r="Z29" s="690"/>
      <c r="AA29" s="690"/>
      <c r="AB29" s="690"/>
      <c r="AC29" s="690"/>
      <c r="AD29" s="690"/>
      <c r="AE29" s="690"/>
    </row>
    <row r="30" spans="1:31" ht="15.75" customHeight="1">
      <c r="A30" s="715"/>
      <c r="B30" s="715"/>
      <c r="C30" s="715"/>
      <c r="D30" s="715"/>
      <c r="E30" s="715"/>
      <c r="F30" s="715"/>
      <c r="G30" s="715"/>
      <c r="H30" s="715"/>
      <c r="I30" s="690"/>
      <c r="J30" s="690"/>
      <c r="K30" s="690"/>
      <c r="L30" s="690"/>
      <c r="M30" s="690"/>
      <c r="N30" s="690"/>
      <c r="O30" s="690"/>
      <c r="P30" s="690"/>
      <c r="Q30" s="690"/>
      <c r="R30" s="690"/>
      <c r="S30" s="690"/>
      <c r="T30" s="690"/>
      <c r="U30" s="690"/>
      <c r="V30" s="690"/>
      <c r="W30" s="690"/>
      <c r="X30" s="690"/>
      <c r="Y30" s="690"/>
      <c r="Z30" s="690"/>
      <c r="AA30" s="690"/>
      <c r="AB30" s="690"/>
      <c r="AC30" s="690"/>
      <c r="AD30" s="690"/>
      <c r="AE30" s="690"/>
    </row>
    <row r="31" spans="1:31" ht="15.75" customHeight="1">
      <c r="A31" s="715"/>
      <c r="B31" s="715"/>
      <c r="C31" s="715"/>
      <c r="D31" s="715"/>
      <c r="E31" s="715"/>
      <c r="F31" s="715"/>
      <c r="G31" s="715"/>
      <c r="H31" s="715"/>
      <c r="I31" s="690"/>
      <c r="J31" s="690"/>
      <c r="K31" s="690"/>
      <c r="L31" s="690"/>
      <c r="M31" s="690"/>
      <c r="N31" s="690"/>
      <c r="O31" s="690"/>
      <c r="P31" s="690"/>
      <c r="Q31" s="690"/>
      <c r="R31" s="690"/>
      <c r="S31" s="690"/>
      <c r="T31" s="690"/>
      <c r="U31" s="690"/>
      <c r="V31" s="690"/>
      <c r="W31" s="690"/>
      <c r="X31" s="690"/>
      <c r="Y31" s="690"/>
      <c r="Z31" s="690"/>
      <c r="AA31" s="690"/>
      <c r="AB31" s="690"/>
      <c r="AC31" s="690"/>
      <c r="AD31" s="690"/>
      <c r="AE31" s="690"/>
    </row>
    <row r="32" spans="1:31" ht="15.75" customHeight="1">
      <c r="A32" s="715"/>
      <c r="B32" s="715"/>
      <c r="C32" s="715"/>
      <c r="D32" s="715"/>
      <c r="E32" s="715"/>
      <c r="F32" s="715"/>
      <c r="G32" s="715"/>
      <c r="H32" s="715"/>
      <c r="I32" s="690"/>
      <c r="J32" s="690"/>
      <c r="K32" s="690"/>
      <c r="L32" s="690"/>
      <c r="M32" s="690"/>
      <c r="N32" s="690"/>
      <c r="O32" s="690"/>
      <c r="P32" s="690"/>
      <c r="Q32" s="690"/>
      <c r="R32" s="690"/>
      <c r="S32" s="690"/>
      <c r="T32" s="690"/>
      <c r="U32" s="690"/>
      <c r="V32" s="690"/>
      <c r="W32" s="690"/>
      <c r="X32" s="690"/>
      <c r="Y32" s="690"/>
      <c r="Z32" s="690"/>
      <c r="AA32" s="690"/>
      <c r="AB32" s="690"/>
      <c r="AC32" s="690"/>
      <c r="AD32" s="690"/>
      <c r="AE32" s="690"/>
    </row>
    <row r="33" spans="1:31" ht="15.75" customHeight="1">
      <c r="A33" s="715"/>
      <c r="B33" s="715"/>
      <c r="C33" s="715"/>
      <c r="D33" s="715"/>
      <c r="E33" s="715"/>
      <c r="F33" s="715"/>
      <c r="G33" s="715"/>
      <c r="H33" s="715"/>
      <c r="I33" s="690"/>
      <c r="J33" s="690"/>
      <c r="K33" s="690"/>
      <c r="L33" s="690"/>
      <c r="M33" s="690"/>
      <c r="N33" s="690"/>
      <c r="O33" s="690"/>
      <c r="P33" s="690"/>
      <c r="Q33" s="690"/>
      <c r="R33" s="690"/>
      <c r="S33" s="690"/>
      <c r="T33" s="690"/>
      <c r="U33" s="690"/>
      <c r="V33" s="690"/>
      <c r="W33" s="690"/>
      <c r="X33" s="690"/>
      <c r="Y33" s="690"/>
      <c r="Z33" s="690"/>
      <c r="AA33" s="690"/>
      <c r="AB33" s="690"/>
      <c r="AC33" s="690"/>
      <c r="AD33" s="690"/>
      <c r="AE33" s="690"/>
    </row>
    <row r="34" spans="1:31" ht="15.75" customHeight="1">
      <c r="A34" s="715"/>
      <c r="B34" s="715"/>
      <c r="C34" s="715"/>
      <c r="D34" s="715"/>
      <c r="E34" s="715"/>
      <c r="F34" s="715"/>
      <c r="G34" s="715"/>
      <c r="H34" s="715"/>
      <c r="I34" s="690"/>
      <c r="J34" s="690"/>
      <c r="K34" s="690"/>
      <c r="L34" s="690"/>
      <c r="M34" s="690"/>
      <c r="N34" s="690"/>
      <c r="O34" s="690"/>
      <c r="P34" s="690"/>
      <c r="Q34" s="690"/>
      <c r="R34" s="690"/>
      <c r="S34" s="690"/>
      <c r="T34" s="690"/>
      <c r="U34" s="690"/>
      <c r="V34" s="690"/>
      <c r="W34" s="690"/>
      <c r="X34" s="690"/>
      <c r="Y34" s="690"/>
      <c r="Z34" s="690"/>
      <c r="AA34" s="690"/>
      <c r="AB34" s="690"/>
      <c r="AC34" s="690"/>
      <c r="AD34" s="690"/>
      <c r="AE34" s="690"/>
    </row>
    <row r="35" spans="1:31" ht="15.75" customHeight="1">
      <c r="A35" s="715"/>
      <c r="B35" s="715"/>
      <c r="C35" s="715"/>
      <c r="D35" s="715"/>
      <c r="E35" s="715"/>
      <c r="F35" s="715"/>
      <c r="G35" s="715"/>
      <c r="H35" s="715"/>
      <c r="I35" s="690"/>
      <c r="J35" s="690"/>
      <c r="K35" s="690"/>
      <c r="L35" s="690"/>
      <c r="M35" s="690"/>
      <c r="N35" s="690"/>
      <c r="O35" s="690"/>
      <c r="P35" s="690"/>
      <c r="Q35" s="690"/>
      <c r="R35" s="690"/>
      <c r="S35" s="690"/>
      <c r="T35" s="690"/>
      <c r="U35" s="690"/>
      <c r="V35" s="690"/>
      <c r="W35" s="690"/>
      <c r="X35" s="690"/>
      <c r="Y35" s="690"/>
      <c r="Z35" s="690"/>
      <c r="AA35" s="690"/>
      <c r="AB35" s="690"/>
      <c r="AC35" s="690"/>
      <c r="AD35" s="690"/>
      <c r="AE35" s="690"/>
    </row>
    <row r="36" spans="1:31" ht="15.75" customHeight="1">
      <c r="A36" s="715"/>
      <c r="B36" s="715"/>
      <c r="C36" s="715"/>
      <c r="D36" s="715"/>
      <c r="E36" s="715"/>
      <c r="F36" s="715"/>
      <c r="G36" s="715"/>
      <c r="H36" s="715"/>
      <c r="I36" s="690"/>
      <c r="J36" s="690"/>
      <c r="K36" s="690"/>
      <c r="L36" s="690"/>
      <c r="M36" s="690"/>
      <c r="N36" s="690"/>
      <c r="O36" s="690"/>
      <c r="P36" s="690"/>
      <c r="Q36" s="690"/>
      <c r="R36" s="690"/>
      <c r="S36" s="690"/>
      <c r="T36" s="690"/>
      <c r="U36" s="690"/>
      <c r="V36" s="690"/>
      <c r="W36" s="690"/>
      <c r="X36" s="690"/>
      <c r="Y36" s="690"/>
      <c r="Z36" s="690"/>
      <c r="AA36" s="690"/>
      <c r="AB36" s="690"/>
      <c r="AC36" s="690"/>
      <c r="AD36" s="690"/>
      <c r="AE36" s="690"/>
    </row>
    <row r="37" spans="1:31" ht="15.75" customHeight="1">
      <c r="A37" s="715"/>
      <c r="B37" s="715"/>
      <c r="C37" s="715"/>
      <c r="D37" s="715"/>
      <c r="E37" s="715"/>
      <c r="F37" s="715"/>
      <c r="G37" s="715"/>
      <c r="H37" s="715"/>
      <c r="I37" s="690"/>
      <c r="J37" s="690"/>
      <c r="K37" s="690"/>
      <c r="L37" s="690"/>
      <c r="M37" s="690"/>
      <c r="N37" s="690"/>
      <c r="O37" s="690"/>
      <c r="P37" s="690"/>
      <c r="Q37" s="690"/>
      <c r="R37" s="690"/>
      <c r="S37" s="690"/>
      <c r="T37" s="690"/>
      <c r="U37" s="690"/>
      <c r="V37" s="690"/>
      <c r="W37" s="690"/>
      <c r="X37" s="690"/>
      <c r="Y37" s="690"/>
      <c r="Z37" s="690"/>
      <c r="AA37" s="690"/>
      <c r="AB37" s="690"/>
      <c r="AC37" s="690"/>
      <c r="AD37" s="690"/>
      <c r="AE37" s="690"/>
    </row>
    <row r="38" spans="1:31" ht="15.75" customHeight="1">
      <c r="A38" s="715"/>
      <c r="B38" s="715"/>
      <c r="C38" s="715"/>
      <c r="D38" s="715"/>
      <c r="E38" s="715"/>
      <c r="F38" s="715"/>
      <c r="G38" s="715"/>
      <c r="H38" s="715"/>
      <c r="I38" s="690"/>
      <c r="J38" s="690"/>
      <c r="K38" s="690"/>
      <c r="L38" s="690"/>
      <c r="M38" s="690"/>
      <c r="N38" s="690"/>
      <c r="O38" s="690"/>
      <c r="P38" s="690"/>
      <c r="Q38" s="690"/>
      <c r="R38" s="690"/>
      <c r="S38" s="690"/>
      <c r="T38" s="690"/>
      <c r="U38" s="690"/>
      <c r="V38" s="690"/>
      <c r="W38" s="690"/>
      <c r="X38" s="690"/>
      <c r="Y38" s="690"/>
      <c r="Z38" s="690"/>
      <c r="AA38" s="690"/>
      <c r="AB38" s="690"/>
      <c r="AC38" s="690"/>
      <c r="AD38" s="690"/>
      <c r="AE38" s="690"/>
    </row>
    <row r="39" spans="1:31" ht="15.75" customHeight="1">
      <c r="A39" s="715"/>
      <c r="B39" s="715"/>
      <c r="C39" s="715"/>
      <c r="D39" s="715"/>
      <c r="E39" s="715"/>
      <c r="F39" s="715"/>
      <c r="G39" s="715"/>
      <c r="H39" s="715"/>
      <c r="I39" s="690"/>
      <c r="J39" s="690"/>
      <c r="K39" s="690"/>
      <c r="L39" s="690"/>
      <c r="M39" s="690"/>
      <c r="N39" s="690"/>
      <c r="O39" s="690"/>
      <c r="P39" s="690"/>
      <c r="Q39" s="690"/>
      <c r="R39" s="690"/>
      <c r="S39" s="690"/>
      <c r="T39" s="690"/>
      <c r="U39" s="690"/>
      <c r="V39" s="690"/>
      <c r="W39" s="690"/>
      <c r="X39" s="690"/>
      <c r="Y39" s="690"/>
      <c r="Z39" s="690"/>
      <c r="AA39" s="690"/>
      <c r="AB39" s="690"/>
      <c r="AC39" s="690"/>
      <c r="AD39" s="690"/>
      <c r="AE39" s="690"/>
    </row>
    <row r="40" spans="1:31" ht="15.75" customHeight="1">
      <c r="A40" s="715"/>
      <c r="B40" s="715"/>
      <c r="C40" s="715"/>
      <c r="D40" s="715"/>
      <c r="E40" s="715"/>
      <c r="F40" s="715"/>
      <c r="G40" s="715"/>
      <c r="H40" s="715"/>
      <c r="I40" s="690"/>
      <c r="J40" s="690"/>
      <c r="K40" s="690"/>
      <c r="L40" s="690"/>
      <c r="M40" s="690"/>
      <c r="N40" s="690"/>
      <c r="O40" s="690"/>
      <c r="P40" s="690"/>
      <c r="Q40" s="690"/>
      <c r="R40" s="690"/>
      <c r="S40" s="690"/>
      <c r="T40" s="690"/>
      <c r="U40" s="690"/>
      <c r="V40" s="690"/>
      <c r="W40" s="690"/>
      <c r="X40" s="690"/>
      <c r="Y40" s="690"/>
      <c r="Z40" s="690"/>
      <c r="AA40" s="690"/>
      <c r="AB40" s="690"/>
      <c r="AC40" s="690"/>
      <c r="AD40" s="690"/>
      <c r="AE40" s="690"/>
    </row>
    <row r="41" spans="1:31" ht="15.75" customHeight="1">
      <c r="A41" s="715"/>
      <c r="B41" s="715"/>
      <c r="C41" s="715"/>
      <c r="D41" s="715"/>
      <c r="E41" s="715"/>
      <c r="F41" s="715"/>
      <c r="G41" s="715"/>
      <c r="H41" s="715"/>
      <c r="I41" s="690"/>
      <c r="J41" s="690"/>
      <c r="K41" s="690"/>
      <c r="L41" s="690"/>
      <c r="M41" s="690"/>
      <c r="N41" s="690"/>
      <c r="O41" s="690"/>
      <c r="P41" s="690"/>
      <c r="Q41" s="690"/>
      <c r="R41" s="690"/>
      <c r="S41" s="690"/>
      <c r="T41" s="690"/>
      <c r="U41" s="690"/>
      <c r="V41" s="690"/>
      <c r="W41" s="690"/>
      <c r="X41" s="690"/>
      <c r="Y41" s="690"/>
      <c r="Z41" s="690"/>
      <c r="AA41" s="690"/>
      <c r="AB41" s="690"/>
      <c r="AC41" s="690"/>
      <c r="AD41" s="690"/>
      <c r="AE41" s="690"/>
    </row>
    <row r="42" spans="1:31" ht="15.75" customHeight="1">
      <c r="A42" s="715"/>
      <c r="B42" s="715"/>
      <c r="C42" s="715"/>
      <c r="D42" s="715"/>
      <c r="E42" s="715"/>
      <c r="F42" s="715"/>
      <c r="G42" s="715"/>
      <c r="H42" s="715"/>
      <c r="I42" s="690"/>
      <c r="J42" s="690"/>
      <c r="K42" s="690"/>
      <c r="L42" s="690"/>
      <c r="M42" s="690"/>
      <c r="N42" s="690"/>
      <c r="O42" s="690"/>
      <c r="P42" s="690"/>
      <c r="Q42" s="690"/>
      <c r="R42" s="690"/>
      <c r="S42" s="690"/>
      <c r="T42" s="690"/>
      <c r="U42" s="690"/>
      <c r="V42" s="690"/>
      <c r="W42" s="690"/>
      <c r="X42" s="690"/>
      <c r="Y42" s="690"/>
      <c r="Z42" s="690"/>
      <c r="AA42" s="690"/>
      <c r="AB42" s="690"/>
      <c r="AC42" s="690"/>
      <c r="AD42" s="690"/>
      <c r="AE42" s="690"/>
    </row>
    <row r="43" spans="1:31" ht="15.75" customHeight="1">
      <c r="A43" s="715"/>
      <c r="B43" s="715"/>
      <c r="C43" s="715"/>
      <c r="D43" s="715"/>
      <c r="E43" s="715"/>
      <c r="F43" s="715"/>
      <c r="G43" s="715"/>
      <c r="H43" s="715"/>
      <c r="I43" s="690"/>
      <c r="J43" s="690"/>
      <c r="K43" s="690"/>
      <c r="L43" s="690"/>
      <c r="M43" s="690"/>
      <c r="N43" s="690"/>
      <c r="O43" s="690"/>
      <c r="P43" s="690"/>
      <c r="Q43" s="690"/>
      <c r="R43" s="690"/>
      <c r="S43" s="690"/>
      <c r="T43" s="690"/>
      <c r="U43" s="690"/>
      <c r="V43" s="690"/>
      <c r="W43" s="690"/>
      <c r="X43" s="690"/>
      <c r="Y43" s="690"/>
      <c r="Z43" s="690"/>
      <c r="AA43" s="690"/>
      <c r="AB43" s="690"/>
      <c r="AC43" s="690"/>
      <c r="AD43" s="690"/>
      <c r="AE43" s="690"/>
    </row>
    <row r="44" spans="1:31" ht="15.75" customHeight="1">
      <c r="A44" s="715"/>
      <c r="B44" s="715"/>
      <c r="C44" s="715"/>
      <c r="D44" s="715"/>
      <c r="E44" s="715"/>
      <c r="F44" s="715"/>
      <c r="G44" s="715"/>
      <c r="H44" s="715"/>
      <c r="I44" s="690"/>
      <c r="J44" s="690"/>
      <c r="K44" s="690"/>
      <c r="L44" s="690"/>
      <c r="M44" s="690"/>
      <c r="N44" s="690"/>
      <c r="O44" s="690"/>
      <c r="P44" s="690"/>
      <c r="Q44" s="690"/>
      <c r="R44" s="690"/>
      <c r="S44" s="690"/>
      <c r="T44" s="690"/>
      <c r="U44" s="690"/>
      <c r="V44" s="690"/>
      <c r="W44" s="690"/>
      <c r="X44" s="690"/>
      <c r="Y44" s="690"/>
      <c r="Z44" s="690"/>
      <c r="AA44" s="690"/>
      <c r="AB44" s="690"/>
      <c r="AC44" s="690"/>
      <c r="AD44" s="690"/>
      <c r="AE44" s="690"/>
    </row>
    <row r="45" spans="1:31" ht="15.75" customHeight="1">
      <c r="A45" s="715"/>
      <c r="B45" s="715"/>
      <c r="C45" s="715"/>
      <c r="D45" s="715"/>
      <c r="E45" s="715"/>
      <c r="F45" s="715"/>
      <c r="G45" s="715"/>
      <c r="H45" s="715"/>
      <c r="I45" s="690"/>
      <c r="J45" s="690"/>
      <c r="K45" s="690"/>
      <c r="L45" s="690"/>
      <c r="M45" s="690"/>
      <c r="N45" s="690"/>
      <c r="O45" s="690"/>
      <c r="P45" s="690"/>
      <c r="Q45" s="690"/>
      <c r="R45" s="690"/>
      <c r="S45" s="690"/>
      <c r="T45" s="690"/>
      <c r="U45" s="690"/>
      <c r="V45" s="690"/>
      <c r="W45" s="690"/>
      <c r="X45" s="690"/>
      <c r="Y45" s="690"/>
      <c r="Z45" s="690"/>
      <c r="AA45" s="690"/>
      <c r="AB45" s="690"/>
      <c r="AC45" s="690"/>
      <c r="AD45" s="690"/>
      <c r="AE45" s="690"/>
    </row>
    <row r="46" spans="1:31" ht="15.75" customHeight="1">
      <c r="A46" s="715"/>
      <c r="B46" s="715"/>
      <c r="C46" s="715"/>
      <c r="D46" s="715"/>
      <c r="E46" s="715"/>
      <c r="F46" s="715"/>
      <c r="G46" s="715"/>
      <c r="H46" s="715"/>
      <c r="I46" s="690"/>
      <c r="J46" s="690"/>
      <c r="K46" s="690"/>
      <c r="L46" s="690"/>
      <c r="M46" s="690"/>
      <c r="N46" s="690"/>
      <c r="O46" s="690"/>
      <c r="P46" s="690"/>
      <c r="Q46" s="690"/>
      <c r="R46" s="690"/>
      <c r="S46" s="690"/>
      <c r="T46" s="690"/>
      <c r="U46" s="690"/>
      <c r="V46" s="690"/>
      <c r="W46" s="690"/>
      <c r="X46" s="690"/>
      <c r="Y46" s="690"/>
      <c r="Z46" s="690"/>
      <c r="AA46" s="690"/>
      <c r="AB46" s="690"/>
      <c r="AC46" s="690"/>
      <c r="AD46" s="690"/>
      <c r="AE46" s="690"/>
    </row>
    <row r="47" spans="1:31" ht="15.75" customHeight="1">
      <c r="A47" s="715"/>
      <c r="B47" s="715"/>
      <c r="C47" s="715"/>
      <c r="D47" s="715"/>
      <c r="E47" s="715"/>
      <c r="F47" s="715"/>
      <c r="G47" s="715"/>
      <c r="H47" s="715"/>
      <c r="I47" s="690"/>
      <c r="J47" s="690"/>
      <c r="K47" s="690"/>
      <c r="L47" s="690"/>
      <c r="M47" s="690"/>
      <c r="N47" s="690"/>
      <c r="O47" s="690"/>
      <c r="P47" s="690"/>
      <c r="Q47" s="690"/>
      <c r="R47" s="690"/>
      <c r="S47" s="690"/>
      <c r="T47" s="690"/>
      <c r="U47" s="690"/>
      <c r="V47" s="690"/>
      <c r="W47" s="690"/>
      <c r="X47" s="690"/>
      <c r="Y47" s="690"/>
      <c r="Z47" s="690"/>
      <c r="AA47" s="690"/>
      <c r="AB47" s="690"/>
      <c r="AC47" s="690"/>
      <c r="AD47" s="690"/>
      <c r="AE47" s="690"/>
    </row>
    <row r="48" spans="1:31" ht="15.75" customHeight="1">
      <c r="A48" s="715"/>
      <c r="B48" s="715"/>
      <c r="C48" s="715"/>
      <c r="D48" s="715"/>
      <c r="E48" s="715"/>
      <c r="F48" s="715"/>
      <c r="G48" s="715"/>
      <c r="H48" s="715"/>
      <c r="I48" s="690"/>
      <c r="J48" s="690"/>
      <c r="K48" s="690"/>
      <c r="L48" s="690"/>
      <c r="M48" s="690"/>
      <c r="N48" s="690"/>
      <c r="O48" s="690"/>
      <c r="P48" s="690"/>
      <c r="Q48" s="690"/>
      <c r="R48" s="690"/>
      <c r="S48" s="690"/>
      <c r="T48" s="690"/>
      <c r="U48" s="690"/>
      <c r="V48" s="690"/>
      <c r="W48" s="690"/>
      <c r="X48" s="690"/>
      <c r="Y48" s="690"/>
      <c r="Z48" s="690"/>
      <c r="AA48" s="690"/>
      <c r="AB48" s="690"/>
      <c r="AC48" s="690"/>
      <c r="AD48" s="690"/>
      <c r="AE48" s="690"/>
    </row>
    <row r="49" spans="1:31" ht="15.75" customHeight="1">
      <c r="A49" s="715"/>
      <c r="B49" s="715"/>
      <c r="C49" s="715"/>
      <c r="D49" s="715"/>
      <c r="E49" s="715"/>
      <c r="F49" s="715"/>
      <c r="G49" s="715"/>
      <c r="H49" s="715"/>
      <c r="I49" s="690"/>
      <c r="J49" s="690"/>
      <c r="K49" s="690"/>
      <c r="L49" s="690"/>
      <c r="M49" s="690"/>
      <c r="N49" s="690"/>
      <c r="O49" s="690"/>
      <c r="P49" s="690"/>
      <c r="Q49" s="690"/>
      <c r="R49" s="690"/>
      <c r="S49" s="690"/>
      <c r="T49" s="690"/>
      <c r="U49" s="690"/>
      <c r="V49" s="690"/>
      <c r="W49" s="690"/>
      <c r="X49" s="690"/>
      <c r="Y49" s="690"/>
      <c r="Z49" s="690"/>
      <c r="AA49" s="690"/>
      <c r="AB49" s="690"/>
      <c r="AC49" s="690"/>
      <c r="AD49" s="690"/>
      <c r="AE49" s="690"/>
    </row>
    <row r="50" spans="1:31" ht="15.75" customHeight="1">
      <c r="A50" s="715"/>
      <c r="B50" s="715"/>
      <c r="C50" s="715"/>
      <c r="D50" s="715"/>
      <c r="E50" s="715"/>
      <c r="F50" s="715"/>
      <c r="G50" s="715"/>
      <c r="H50" s="715"/>
      <c r="I50" s="690"/>
      <c r="J50" s="690"/>
      <c r="K50" s="690"/>
      <c r="L50" s="690"/>
      <c r="M50" s="690"/>
      <c r="N50" s="690"/>
      <c r="O50" s="690"/>
      <c r="P50" s="690"/>
      <c r="Q50" s="690"/>
      <c r="R50" s="690"/>
      <c r="S50" s="690"/>
      <c r="T50" s="690"/>
      <c r="U50" s="690"/>
      <c r="V50" s="690"/>
      <c r="W50" s="690"/>
      <c r="X50" s="690"/>
      <c r="Y50" s="690"/>
      <c r="Z50" s="690"/>
      <c r="AA50" s="690"/>
      <c r="AB50" s="690"/>
      <c r="AC50" s="690"/>
      <c r="AD50" s="690"/>
      <c r="AE50" s="690"/>
    </row>
    <row r="51" spans="1:31" ht="15.75" customHeight="1">
      <c r="A51" s="715"/>
      <c r="B51" s="715"/>
      <c r="C51" s="715"/>
      <c r="D51" s="715"/>
      <c r="E51" s="715"/>
      <c r="F51" s="715"/>
      <c r="G51" s="715"/>
      <c r="H51" s="715"/>
      <c r="I51" s="690"/>
      <c r="J51" s="690"/>
      <c r="K51" s="690"/>
      <c r="L51" s="690"/>
      <c r="M51" s="690"/>
      <c r="N51" s="690"/>
      <c r="O51" s="690"/>
      <c r="P51" s="690"/>
      <c r="Q51" s="690"/>
      <c r="R51" s="690"/>
      <c r="S51" s="690"/>
      <c r="T51" s="690"/>
      <c r="U51" s="690"/>
      <c r="V51" s="690"/>
      <c r="W51" s="690"/>
      <c r="X51" s="690"/>
      <c r="Y51" s="690"/>
      <c r="Z51" s="690"/>
      <c r="AA51" s="690"/>
      <c r="AB51" s="690"/>
      <c r="AC51" s="690"/>
      <c r="AD51" s="690"/>
      <c r="AE51" s="690"/>
    </row>
    <row r="52" spans="1:31" ht="15.75" customHeight="1">
      <c r="A52" s="715"/>
      <c r="B52" s="715"/>
      <c r="C52" s="715"/>
      <c r="D52" s="715"/>
      <c r="E52" s="715"/>
      <c r="F52" s="715"/>
      <c r="G52" s="715"/>
      <c r="H52" s="715"/>
      <c r="I52" s="690"/>
      <c r="J52" s="690"/>
      <c r="K52" s="690"/>
      <c r="L52" s="690"/>
      <c r="M52" s="690"/>
      <c r="N52" s="690"/>
      <c r="O52" s="690"/>
      <c r="P52" s="690"/>
      <c r="Q52" s="690"/>
      <c r="R52" s="690"/>
      <c r="S52" s="690"/>
      <c r="T52" s="690"/>
      <c r="U52" s="690"/>
      <c r="V52" s="690"/>
      <c r="W52" s="690"/>
      <c r="X52" s="690"/>
      <c r="Y52" s="690"/>
      <c r="Z52" s="690"/>
      <c r="AA52" s="690"/>
      <c r="AB52" s="690"/>
      <c r="AC52" s="690"/>
      <c r="AD52" s="690"/>
      <c r="AE52" s="690"/>
    </row>
    <row r="53" spans="1:31" ht="15.75" customHeight="1">
      <c r="A53" s="715"/>
      <c r="B53" s="715"/>
      <c r="C53" s="715"/>
      <c r="D53" s="715"/>
      <c r="E53" s="715"/>
      <c r="F53" s="715"/>
      <c r="G53" s="715"/>
      <c r="H53" s="715"/>
      <c r="I53" s="690"/>
      <c r="J53" s="690"/>
      <c r="K53" s="690"/>
      <c r="L53" s="690"/>
      <c r="M53" s="690"/>
      <c r="N53" s="690"/>
      <c r="O53" s="690"/>
      <c r="P53" s="690"/>
      <c r="Q53" s="690"/>
      <c r="R53" s="690"/>
      <c r="S53" s="690"/>
      <c r="T53" s="690"/>
      <c r="U53" s="690"/>
      <c r="V53" s="690"/>
      <c r="W53" s="690"/>
      <c r="X53" s="690"/>
      <c r="Y53" s="690"/>
      <c r="Z53" s="690"/>
      <c r="AA53" s="690"/>
      <c r="AB53" s="690"/>
      <c r="AC53" s="690"/>
      <c r="AD53" s="690"/>
      <c r="AE53" s="690"/>
    </row>
    <row r="54" spans="1:31" ht="15.75" customHeight="1">
      <c r="A54" s="715"/>
      <c r="B54" s="715"/>
      <c r="C54" s="715"/>
      <c r="D54" s="715"/>
      <c r="E54" s="715"/>
      <c r="F54" s="715"/>
      <c r="G54" s="715"/>
      <c r="H54" s="715"/>
      <c r="I54" s="690"/>
      <c r="J54" s="690"/>
      <c r="K54" s="690"/>
      <c r="L54" s="690"/>
      <c r="M54" s="690"/>
      <c r="N54" s="690"/>
      <c r="O54" s="690"/>
      <c r="P54" s="690"/>
      <c r="Q54" s="690"/>
      <c r="R54" s="690"/>
      <c r="S54" s="690"/>
      <c r="T54" s="690"/>
      <c r="U54" s="690"/>
      <c r="V54" s="690"/>
      <c r="W54" s="690"/>
      <c r="X54" s="690"/>
      <c r="Y54" s="690"/>
      <c r="Z54" s="690"/>
      <c r="AA54" s="690"/>
      <c r="AB54" s="690"/>
      <c r="AC54" s="690"/>
      <c r="AD54" s="690"/>
      <c r="AE54" s="690"/>
    </row>
    <row r="55" spans="1:31" ht="15.75" customHeight="1">
      <c r="A55" s="715"/>
      <c r="B55" s="715"/>
      <c r="C55" s="715"/>
      <c r="D55" s="715"/>
      <c r="E55" s="715"/>
      <c r="F55" s="715"/>
      <c r="G55" s="715"/>
      <c r="H55" s="715"/>
      <c r="I55" s="690"/>
      <c r="J55" s="690"/>
      <c r="K55" s="690"/>
      <c r="L55" s="690"/>
      <c r="M55" s="690"/>
      <c r="N55" s="690"/>
      <c r="O55" s="690"/>
      <c r="P55" s="690"/>
      <c r="Q55" s="690"/>
      <c r="R55" s="690"/>
      <c r="S55" s="690"/>
      <c r="T55" s="690"/>
      <c r="U55" s="690"/>
      <c r="V55" s="690"/>
      <c r="W55" s="690"/>
      <c r="X55" s="690"/>
      <c r="Y55" s="690"/>
      <c r="Z55" s="690"/>
      <c r="AA55" s="690"/>
      <c r="AB55" s="690"/>
      <c r="AC55" s="690"/>
      <c r="AD55" s="690"/>
      <c r="AE55" s="690"/>
    </row>
    <row r="56" spans="1:31" ht="15.75" customHeight="1">
      <c r="A56" s="715"/>
      <c r="B56" s="715"/>
      <c r="C56" s="715"/>
      <c r="D56" s="715"/>
      <c r="E56" s="715"/>
      <c r="F56" s="715"/>
      <c r="G56" s="715"/>
      <c r="H56" s="715"/>
      <c r="I56" s="690"/>
      <c r="J56" s="690"/>
      <c r="K56" s="690"/>
      <c r="L56" s="690"/>
      <c r="M56" s="690"/>
      <c r="N56" s="690"/>
      <c r="O56" s="690"/>
      <c r="P56" s="690"/>
      <c r="Q56" s="690"/>
      <c r="R56" s="690"/>
      <c r="S56" s="690"/>
      <c r="T56" s="690"/>
      <c r="U56" s="690"/>
      <c r="V56" s="690"/>
      <c r="W56" s="690"/>
      <c r="X56" s="690"/>
      <c r="Y56" s="690"/>
      <c r="Z56" s="690"/>
      <c r="AA56" s="690"/>
      <c r="AB56" s="690"/>
      <c r="AC56" s="690"/>
      <c r="AD56" s="690"/>
      <c r="AE56" s="690"/>
    </row>
    <row r="57" spans="1:31" ht="15.75" customHeight="1">
      <c r="A57" s="715"/>
      <c r="B57" s="715"/>
      <c r="C57" s="715"/>
      <c r="D57" s="715"/>
      <c r="E57" s="715"/>
      <c r="F57" s="715"/>
      <c r="G57" s="715"/>
      <c r="H57" s="715"/>
      <c r="I57" s="690"/>
      <c r="J57" s="690"/>
      <c r="K57" s="690"/>
      <c r="L57" s="690"/>
      <c r="M57" s="690"/>
      <c r="N57" s="690"/>
      <c r="O57" s="690"/>
      <c r="P57" s="690"/>
      <c r="Q57" s="690"/>
      <c r="R57" s="690"/>
      <c r="S57" s="690"/>
      <c r="T57" s="690"/>
      <c r="U57" s="690"/>
      <c r="V57" s="690"/>
      <c r="W57" s="690"/>
      <c r="X57" s="690"/>
      <c r="Y57" s="690"/>
      <c r="Z57" s="690"/>
      <c r="AA57" s="690"/>
      <c r="AB57" s="690"/>
      <c r="AC57" s="690"/>
      <c r="AD57" s="690"/>
      <c r="AE57" s="690"/>
    </row>
    <row r="58" spans="1:31" ht="15.75" customHeight="1">
      <c r="A58" s="715"/>
      <c r="B58" s="715"/>
      <c r="C58" s="715"/>
      <c r="D58" s="715"/>
      <c r="E58" s="715"/>
      <c r="F58" s="715"/>
      <c r="G58" s="715"/>
      <c r="H58" s="715"/>
      <c r="I58" s="690"/>
      <c r="J58" s="690"/>
      <c r="K58" s="690"/>
      <c r="L58" s="690"/>
      <c r="M58" s="690"/>
      <c r="N58" s="690"/>
      <c r="O58" s="690"/>
      <c r="P58" s="690"/>
      <c r="Q58" s="690"/>
      <c r="R58" s="690"/>
      <c r="S58" s="690"/>
      <c r="T58" s="690"/>
      <c r="U58" s="690"/>
      <c r="V58" s="690"/>
      <c r="W58" s="690"/>
      <c r="X58" s="690"/>
      <c r="Y58" s="690"/>
      <c r="Z58" s="690"/>
      <c r="AA58" s="690"/>
      <c r="AB58" s="690"/>
      <c r="AC58" s="690"/>
      <c r="AD58" s="690"/>
      <c r="AE58" s="690"/>
    </row>
    <row r="59" spans="1:31" ht="15.75" customHeight="1">
      <c r="A59" s="715"/>
      <c r="B59" s="715"/>
      <c r="C59" s="715"/>
      <c r="D59" s="715"/>
      <c r="E59" s="715"/>
      <c r="F59" s="715"/>
      <c r="G59" s="715"/>
      <c r="H59" s="715"/>
      <c r="I59" s="690"/>
      <c r="J59" s="690"/>
      <c r="K59" s="690"/>
      <c r="L59" s="690"/>
      <c r="M59" s="690"/>
      <c r="N59" s="690"/>
      <c r="O59" s="690"/>
      <c r="P59" s="690"/>
      <c r="Q59" s="690"/>
      <c r="R59" s="690"/>
      <c r="S59" s="690"/>
      <c r="T59" s="690"/>
      <c r="U59" s="690"/>
      <c r="V59" s="690"/>
      <c r="W59" s="690"/>
      <c r="X59" s="690"/>
      <c r="Y59" s="690"/>
      <c r="Z59" s="690"/>
      <c r="AA59" s="690"/>
      <c r="AB59" s="690"/>
      <c r="AC59" s="690"/>
      <c r="AD59" s="690"/>
      <c r="AE59" s="690"/>
    </row>
    <row r="60" spans="1:31" ht="15.75" customHeight="1">
      <c r="A60" s="715"/>
      <c r="B60" s="715"/>
      <c r="C60" s="715"/>
      <c r="D60" s="715"/>
      <c r="E60" s="715"/>
      <c r="F60" s="715"/>
      <c r="G60" s="715"/>
      <c r="H60" s="715"/>
      <c r="I60" s="690"/>
      <c r="J60" s="690"/>
      <c r="K60" s="690"/>
      <c r="L60" s="690"/>
      <c r="M60" s="690"/>
      <c r="N60" s="690"/>
      <c r="O60" s="690"/>
      <c r="P60" s="690"/>
      <c r="Q60" s="690"/>
      <c r="R60" s="690"/>
      <c r="S60" s="690"/>
      <c r="T60" s="690"/>
      <c r="U60" s="690"/>
      <c r="V60" s="690"/>
      <c r="W60" s="690"/>
      <c r="X60" s="690"/>
      <c r="Y60" s="690"/>
      <c r="Z60" s="690"/>
      <c r="AA60" s="690"/>
      <c r="AB60" s="690"/>
      <c r="AC60" s="690"/>
      <c r="AD60" s="690"/>
      <c r="AE60" s="690"/>
    </row>
    <row r="61" spans="1:31" ht="15.75" customHeight="1">
      <c r="A61" s="715"/>
      <c r="B61" s="715"/>
      <c r="C61" s="715"/>
      <c r="D61" s="715"/>
      <c r="E61" s="715"/>
      <c r="F61" s="715"/>
      <c r="G61" s="715"/>
      <c r="H61" s="715"/>
      <c r="I61" s="690"/>
      <c r="J61" s="690"/>
      <c r="K61" s="690"/>
      <c r="L61" s="690"/>
      <c r="M61" s="690"/>
      <c r="N61" s="690"/>
      <c r="O61" s="690"/>
      <c r="P61" s="690"/>
      <c r="Q61" s="690"/>
      <c r="R61" s="690"/>
      <c r="S61" s="690"/>
      <c r="T61" s="690"/>
      <c r="U61" s="690"/>
      <c r="V61" s="690"/>
      <c r="W61" s="690"/>
      <c r="X61" s="690"/>
      <c r="Y61" s="690"/>
      <c r="Z61" s="690"/>
      <c r="AA61" s="690"/>
      <c r="AB61" s="690"/>
      <c r="AC61" s="690"/>
      <c r="AD61" s="690"/>
      <c r="AE61" s="690"/>
    </row>
    <row r="62" spans="1:31" ht="15.75" customHeight="1">
      <c r="A62" s="715"/>
      <c r="B62" s="715"/>
      <c r="C62" s="715"/>
      <c r="D62" s="715"/>
      <c r="E62" s="715"/>
      <c r="F62" s="715"/>
      <c r="G62" s="715"/>
      <c r="H62" s="715"/>
      <c r="I62" s="690"/>
      <c r="J62" s="690"/>
      <c r="K62" s="690"/>
      <c r="L62" s="690"/>
      <c r="M62" s="690"/>
      <c r="N62" s="690"/>
      <c r="O62" s="690"/>
      <c r="P62" s="690"/>
      <c r="Q62" s="690"/>
      <c r="R62" s="690"/>
      <c r="S62" s="690"/>
      <c r="T62" s="690"/>
      <c r="U62" s="690"/>
      <c r="V62" s="690"/>
      <c r="W62" s="690"/>
      <c r="X62" s="690"/>
      <c r="Y62" s="690"/>
      <c r="Z62" s="690"/>
      <c r="AA62" s="690"/>
      <c r="AB62" s="690"/>
      <c r="AC62" s="690"/>
      <c r="AD62" s="690"/>
      <c r="AE62" s="690"/>
    </row>
    <row r="63" spans="1:31" ht="15.75" customHeight="1">
      <c r="A63" s="715"/>
      <c r="B63" s="715"/>
      <c r="C63" s="715"/>
      <c r="D63" s="715"/>
      <c r="E63" s="715"/>
      <c r="F63" s="715"/>
      <c r="G63" s="715"/>
      <c r="H63" s="715"/>
      <c r="I63" s="690"/>
      <c r="J63" s="690"/>
      <c r="K63" s="690"/>
      <c r="L63" s="690"/>
      <c r="M63" s="690"/>
      <c r="N63" s="690"/>
      <c r="O63" s="690"/>
      <c r="P63" s="690"/>
      <c r="Q63" s="690"/>
      <c r="R63" s="690"/>
      <c r="S63" s="690"/>
      <c r="T63" s="690"/>
      <c r="U63" s="690"/>
      <c r="V63" s="690"/>
      <c r="W63" s="690"/>
      <c r="X63" s="690"/>
      <c r="Y63" s="690"/>
      <c r="Z63" s="690"/>
      <c r="AA63" s="690"/>
      <c r="AB63" s="690"/>
      <c r="AC63" s="690"/>
      <c r="AD63" s="690"/>
      <c r="AE63" s="690"/>
    </row>
    <row r="64" spans="1:31" ht="15.75" customHeight="1">
      <c r="A64" s="715"/>
      <c r="B64" s="715"/>
      <c r="C64" s="715"/>
      <c r="D64" s="715"/>
      <c r="E64" s="715"/>
      <c r="F64" s="715"/>
      <c r="G64" s="715"/>
      <c r="H64" s="715"/>
      <c r="I64" s="690"/>
      <c r="J64" s="690"/>
      <c r="K64" s="690"/>
      <c r="L64" s="690"/>
      <c r="M64" s="690"/>
      <c r="N64" s="690"/>
      <c r="O64" s="690"/>
      <c r="P64" s="690"/>
      <c r="Q64" s="690"/>
      <c r="R64" s="690"/>
      <c r="S64" s="690"/>
      <c r="T64" s="690"/>
      <c r="U64" s="690"/>
      <c r="V64" s="690"/>
      <c r="W64" s="690"/>
      <c r="X64" s="690"/>
      <c r="Y64" s="690"/>
      <c r="Z64" s="690"/>
      <c r="AA64" s="690"/>
      <c r="AB64" s="690"/>
      <c r="AC64" s="690"/>
      <c r="AD64" s="690"/>
      <c r="AE64" s="690"/>
    </row>
    <row r="65" spans="1:31" ht="15.75" customHeight="1">
      <c r="A65" s="715"/>
      <c r="B65" s="715"/>
      <c r="C65" s="715"/>
      <c r="D65" s="715"/>
      <c r="E65" s="715"/>
      <c r="F65" s="715"/>
      <c r="G65" s="715"/>
      <c r="H65" s="715"/>
      <c r="I65" s="690"/>
      <c r="J65" s="690"/>
      <c r="K65" s="690"/>
      <c r="L65" s="690"/>
      <c r="M65" s="690"/>
      <c r="N65" s="690"/>
      <c r="O65" s="690"/>
      <c r="P65" s="690"/>
      <c r="Q65" s="690"/>
      <c r="R65" s="690"/>
      <c r="S65" s="690"/>
      <c r="T65" s="690"/>
      <c r="U65" s="690"/>
      <c r="V65" s="690"/>
      <c r="W65" s="690"/>
      <c r="X65" s="690"/>
      <c r="Y65" s="690"/>
      <c r="Z65" s="690"/>
      <c r="AA65" s="690"/>
      <c r="AB65" s="690"/>
      <c r="AC65" s="690"/>
      <c r="AD65" s="690"/>
      <c r="AE65" s="690"/>
    </row>
    <row r="66" spans="1:31" ht="15.75" customHeight="1">
      <c r="A66" s="715"/>
      <c r="B66" s="715"/>
      <c r="C66" s="715"/>
      <c r="D66" s="715"/>
      <c r="E66" s="715"/>
      <c r="F66" s="715"/>
      <c r="G66" s="715"/>
      <c r="H66" s="715"/>
      <c r="I66" s="690"/>
      <c r="J66" s="690"/>
      <c r="K66" s="690"/>
      <c r="L66" s="690"/>
      <c r="M66" s="690"/>
      <c r="N66" s="690"/>
      <c r="O66" s="690"/>
      <c r="P66" s="690"/>
      <c r="Q66" s="690"/>
      <c r="R66" s="690"/>
      <c r="S66" s="690"/>
      <c r="T66" s="690"/>
      <c r="U66" s="690"/>
      <c r="V66" s="690"/>
      <c r="W66" s="690"/>
      <c r="X66" s="690"/>
      <c r="Y66" s="690"/>
      <c r="Z66" s="690"/>
      <c r="AA66" s="690"/>
      <c r="AB66" s="690"/>
      <c r="AC66" s="690"/>
      <c r="AD66" s="690"/>
      <c r="AE66" s="690"/>
    </row>
    <row r="67" spans="1:31" ht="15.75" customHeight="1">
      <c r="A67" s="715"/>
      <c r="B67" s="715"/>
      <c r="C67" s="715"/>
      <c r="D67" s="715"/>
      <c r="E67" s="715"/>
      <c r="F67" s="715"/>
      <c r="G67" s="715"/>
      <c r="H67" s="715"/>
      <c r="I67" s="690"/>
      <c r="J67" s="690"/>
      <c r="K67" s="690"/>
      <c r="L67" s="690"/>
      <c r="M67" s="690"/>
      <c r="N67" s="690"/>
      <c r="O67" s="690"/>
      <c r="P67" s="690"/>
      <c r="Q67" s="690"/>
      <c r="R67" s="690"/>
      <c r="S67" s="690"/>
      <c r="T67" s="690"/>
      <c r="U67" s="690"/>
      <c r="V67" s="690"/>
      <c r="W67" s="690"/>
      <c r="X67" s="690"/>
      <c r="Y67" s="690"/>
      <c r="Z67" s="690"/>
      <c r="AA67" s="690"/>
      <c r="AB67" s="690"/>
      <c r="AC67" s="690"/>
      <c r="AD67" s="690"/>
      <c r="AE67" s="690"/>
    </row>
    <row r="68" spans="1:31" ht="15.75" customHeight="1">
      <c r="A68" s="715"/>
      <c r="B68" s="715"/>
      <c r="C68" s="715"/>
      <c r="D68" s="715"/>
      <c r="E68" s="715"/>
      <c r="F68" s="715"/>
      <c r="G68" s="715"/>
      <c r="H68" s="715"/>
      <c r="I68" s="690"/>
      <c r="J68" s="690"/>
      <c r="K68" s="690"/>
      <c r="L68" s="690"/>
      <c r="M68" s="690"/>
      <c r="N68" s="690"/>
      <c r="O68" s="690"/>
      <c r="P68" s="690"/>
      <c r="Q68" s="690"/>
      <c r="R68" s="690"/>
      <c r="S68" s="690"/>
      <c r="T68" s="690"/>
      <c r="U68" s="690"/>
      <c r="V68" s="690"/>
      <c r="W68" s="690"/>
      <c r="X68" s="690"/>
      <c r="Y68" s="690"/>
      <c r="Z68" s="690"/>
      <c r="AA68" s="690"/>
      <c r="AB68" s="690"/>
      <c r="AC68" s="690"/>
      <c r="AD68" s="690"/>
      <c r="AE68" s="690"/>
    </row>
    <row r="69" spans="1:31" ht="15.75" customHeight="1">
      <c r="A69" s="715"/>
      <c r="B69" s="715"/>
      <c r="C69" s="715"/>
      <c r="D69" s="715"/>
      <c r="E69" s="715"/>
      <c r="F69" s="715"/>
      <c r="G69" s="715"/>
      <c r="H69" s="715"/>
      <c r="I69" s="690"/>
      <c r="J69" s="690"/>
      <c r="K69" s="690"/>
      <c r="L69" s="690"/>
      <c r="M69" s="690"/>
      <c r="N69" s="690"/>
      <c r="O69" s="690"/>
      <c r="P69" s="690"/>
      <c r="Q69" s="690"/>
      <c r="R69" s="690"/>
      <c r="S69" s="690"/>
      <c r="T69" s="690"/>
      <c r="U69" s="690"/>
      <c r="V69" s="690"/>
      <c r="W69" s="690"/>
      <c r="X69" s="690"/>
      <c r="Y69" s="690"/>
      <c r="Z69" s="690"/>
      <c r="AA69" s="690"/>
      <c r="AB69" s="690"/>
      <c r="AC69" s="690"/>
      <c r="AD69" s="690"/>
      <c r="AE69" s="690"/>
    </row>
    <row r="70" spans="1:31" ht="15.75" customHeight="1">
      <c r="A70" s="715"/>
      <c r="B70" s="715"/>
      <c r="C70" s="715"/>
      <c r="D70" s="715"/>
      <c r="E70" s="715"/>
      <c r="F70" s="715"/>
      <c r="G70" s="715"/>
      <c r="H70" s="715"/>
      <c r="I70" s="690"/>
      <c r="J70" s="690"/>
      <c r="K70" s="690"/>
      <c r="L70" s="690"/>
      <c r="M70" s="690"/>
      <c r="N70" s="690"/>
      <c r="O70" s="690"/>
      <c r="P70" s="690"/>
      <c r="Q70" s="690"/>
      <c r="R70" s="690"/>
      <c r="S70" s="690"/>
      <c r="T70" s="690"/>
      <c r="U70" s="690"/>
      <c r="V70" s="690"/>
      <c r="W70" s="690"/>
      <c r="X70" s="690"/>
      <c r="Y70" s="690"/>
      <c r="Z70" s="690"/>
      <c r="AA70" s="690"/>
      <c r="AB70" s="690"/>
      <c r="AC70" s="690"/>
      <c r="AD70" s="690"/>
      <c r="AE70" s="690"/>
    </row>
    <row r="71" spans="1:31" ht="15.75" customHeight="1">
      <c r="A71" s="715"/>
      <c r="B71" s="715"/>
      <c r="C71" s="715"/>
      <c r="D71" s="715"/>
      <c r="E71" s="715"/>
      <c r="F71" s="715"/>
      <c r="G71" s="715"/>
      <c r="H71" s="715"/>
      <c r="I71" s="690"/>
      <c r="J71" s="690"/>
      <c r="K71" s="690"/>
      <c r="L71" s="690"/>
      <c r="M71" s="690"/>
      <c r="N71" s="690"/>
      <c r="O71" s="690"/>
      <c r="P71" s="690"/>
      <c r="Q71" s="690"/>
      <c r="R71" s="690"/>
      <c r="S71" s="690"/>
      <c r="T71" s="690"/>
      <c r="U71" s="690"/>
      <c r="V71" s="690"/>
      <c r="W71" s="690"/>
      <c r="X71" s="690"/>
      <c r="Y71" s="690"/>
      <c r="Z71" s="690"/>
      <c r="AA71" s="690"/>
      <c r="AB71" s="690"/>
      <c r="AC71" s="690"/>
      <c r="AD71" s="690"/>
      <c r="AE71" s="690"/>
    </row>
    <row r="72" spans="1:31" ht="15.75" customHeight="1">
      <c r="A72" s="715"/>
      <c r="B72" s="715"/>
      <c r="C72" s="715"/>
      <c r="D72" s="715"/>
      <c r="E72" s="715"/>
      <c r="F72" s="715"/>
      <c r="G72" s="715"/>
      <c r="H72" s="715"/>
      <c r="I72" s="690"/>
      <c r="J72" s="690"/>
      <c r="K72" s="690"/>
      <c r="L72" s="690"/>
      <c r="M72" s="690"/>
      <c r="N72" s="690"/>
      <c r="O72" s="690"/>
      <c r="P72" s="690"/>
      <c r="Q72" s="690"/>
      <c r="R72" s="690"/>
      <c r="S72" s="690"/>
      <c r="T72" s="690"/>
      <c r="U72" s="690"/>
      <c r="V72" s="690"/>
      <c r="W72" s="690"/>
      <c r="X72" s="690"/>
      <c r="Y72" s="690"/>
      <c r="Z72" s="690"/>
      <c r="AA72" s="690"/>
      <c r="AB72" s="690"/>
      <c r="AC72" s="690"/>
      <c r="AD72" s="690"/>
      <c r="AE72" s="690"/>
    </row>
    <row r="73" spans="1:31" ht="15.75" customHeight="1">
      <c r="A73" s="715"/>
      <c r="B73" s="715"/>
      <c r="C73" s="715"/>
      <c r="D73" s="715"/>
      <c r="E73" s="715"/>
      <c r="F73" s="715"/>
      <c r="G73" s="715"/>
      <c r="H73" s="715"/>
      <c r="I73" s="690"/>
      <c r="J73" s="690"/>
      <c r="K73" s="690"/>
      <c r="L73" s="690"/>
      <c r="M73" s="690"/>
      <c r="N73" s="690"/>
      <c r="O73" s="690"/>
      <c r="P73" s="690"/>
      <c r="Q73" s="690"/>
      <c r="R73" s="690"/>
      <c r="S73" s="690"/>
      <c r="T73" s="690"/>
      <c r="U73" s="690"/>
      <c r="V73" s="690"/>
      <c r="W73" s="690"/>
      <c r="X73" s="690"/>
      <c r="Y73" s="690"/>
      <c r="Z73" s="690"/>
      <c r="AA73" s="690"/>
      <c r="AB73" s="690"/>
      <c r="AC73" s="690"/>
      <c r="AD73" s="690"/>
      <c r="AE73" s="690"/>
    </row>
    <row r="74" spans="1:31" ht="15.75" customHeight="1">
      <c r="A74" s="715"/>
      <c r="B74" s="715"/>
      <c r="C74" s="715"/>
      <c r="D74" s="715"/>
      <c r="E74" s="715"/>
      <c r="F74" s="715"/>
      <c r="G74" s="715"/>
      <c r="H74" s="715"/>
      <c r="I74" s="690"/>
      <c r="J74" s="690"/>
      <c r="K74" s="690"/>
      <c r="L74" s="690"/>
      <c r="M74" s="690"/>
      <c r="N74" s="690"/>
      <c r="O74" s="690"/>
      <c r="P74" s="690"/>
      <c r="Q74" s="690"/>
      <c r="R74" s="690"/>
      <c r="S74" s="690"/>
      <c r="T74" s="690"/>
      <c r="U74" s="690"/>
      <c r="V74" s="690"/>
      <c r="W74" s="690"/>
      <c r="X74" s="690"/>
      <c r="Y74" s="690"/>
      <c r="Z74" s="690"/>
      <c r="AA74" s="690"/>
      <c r="AB74" s="690"/>
      <c r="AC74" s="690"/>
      <c r="AD74" s="690"/>
      <c r="AE74" s="690"/>
    </row>
    <row r="75" spans="1:31" ht="15.75" customHeight="1">
      <c r="A75" s="715"/>
      <c r="B75" s="715"/>
      <c r="C75" s="715"/>
      <c r="D75" s="715"/>
      <c r="E75" s="715"/>
      <c r="F75" s="715"/>
      <c r="G75" s="715"/>
      <c r="H75" s="715"/>
      <c r="I75" s="690"/>
      <c r="J75" s="690"/>
      <c r="K75" s="690"/>
      <c r="L75" s="690"/>
      <c r="M75" s="690"/>
      <c r="N75" s="690"/>
      <c r="O75" s="690"/>
      <c r="P75" s="690"/>
      <c r="Q75" s="690"/>
      <c r="R75" s="690"/>
      <c r="S75" s="690"/>
      <c r="T75" s="690"/>
      <c r="U75" s="690"/>
      <c r="V75" s="690"/>
      <c r="W75" s="690"/>
      <c r="X75" s="690"/>
      <c r="Y75" s="690"/>
      <c r="Z75" s="690"/>
      <c r="AA75" s="690"/>
      <c r="AB75" s="690"/>
      <c r="AC75" s="690"/>
      <c r="AD75" s="690"/>
      <c r="AE75" s="690"/>
    </row>
    <row r="76" spans="1:31" ht="15.75" customHeight="1">
      <c r="A76" s="715"/>
      <c r="B76" s="715"/>
      <c r="C76" s="715"/>
      <c r="D76" s="715"/>
      <c r="E76" s="715"/>
      <c r="F76" s="715"/>
      <c r="G76" s="715"/>
      <c r="H76" s="715"/>
      <c r="I76" s="690"/>
      <c r="J76" s="690"/>
      <c r="K76" s="690"/>
      <c r="L76" s="690"/>
      <c r="M76" s="690"/>
      <c r="N76" s="690"/>
      <c r="O76" s="690"/>
      <c r="P76" s="690"/>
      <c r="Q76" s="690"/>
      <c r="R76" s="690"/>
      <c r="S76" s="690"/>
      <c r="T76" s="690"/>
      <c r="U76" s="690"/>
      <c r="V76" s="690"/>
      <c r="W76" s="690"/>
      <c r="X76" s="690"/>
      <c r="Y76" s="690"/>
      <c r="Z76" s="690"/>
      <c r="AA76" s="690"/>
      <c r="AB76" s="690"/>
      <c r="AC76" s="690"/>
      <c r="AD76" s="690"/>
      <c r="AE76" s="690"/>
    </row>
    <row r="77" spans="1:31" ht="15.75" customHeight="1">
      <c r="A77" s="715"/>
      <c r="B77" s="715"/>
      <c r="C77" s="715"/>
      <c r="D77" s="715"/>
      <c r="E77" s="715"/>
      <c r="F77" s="715"/>
      <c r="G77" s="715"/>
      <c r="H77" s="715"/>
      <c r="I77" s="690"/>
      <c r="J77" s="690"/>
      <c r="K77" s="690"/>
      <c r="L77" s="690"/>
      <c r="M77" s="690"/>
      <c r="N77" s="690"/>
      <c r="O77" s="690"/>
      <c r="P77" s="690"/>
      <c r="Q77" s="690"/>
      <c r="R77" s="690"/>
      <c r="S77" s="690"/>
      <c r="T77" s="690"/>
      <c r="U77" s="690"/>
      <c r="V77" s="690"/>
      <c r="W77" s="690"/>
      <c r="X77" s="690"/>
      <c r="Y77" s="690"/>
      <c r="Z77" s="690"/>
      <c r="AA77" s="690"/>
      <c r="AB77" s="690"/>
      <c r="AC77" s="690"/>
      <c r="AD77" s="690"/>
      <c r="AE77" s="690"/>
    </row>
    <row r="78" spans="1:31" ht="15.75" customHeight="1">
      <c r="A78" s="715"/>
      <c r="B78" s="715"/>
      <c r="C78" s="715"/>
      <c r="D78" s="715"/>
      <c r="E78" s="715"/>
      <c r="F78" s="715"/>
      <c r="G78" s="715"/>
      <c r="H78" s="715"/>
      <c r="I78" s="690"/>
      <c r="J78" s="690"/>
      <c r="K78" s="690"/>
      <c r="L78" s="690"/>
      <c r="M78" s="690"/>
      <c r="N78" s="690"/>
      <c r="O78" s="690"/>
      <c r="P78" s="690"/>
      <c r="Q78" s="690"/>
      <c r="R78" s="690"/>
      <c r="S78" s="690"/>
      <c r="T78" s="690"/>
      <c r="U78" s="690"/>
      <c r="V78" s="690"/>
      <c r="W78" s="690"/>
      <c r="X78" s="690"/>
      <c r="Y78" s="690"/>
      <c r="Z78" s="690"/>
      <c r="AA78" s="690"/>
      <c r="AB78" s="690"/>
      <c r="AC78" s="690"/>
      <c r="AD78" s="690"/>
      <c r="AE78" s="690"/>
    </row>
    <row r="79" spans="1:31" ht="15.75" customHeight="1">
      <c r="A79" s="715"/>
      <c r="B79" s="715"/>
      <c r="C79" s="715"/>
      <c r="D79" s="715"/>
      <c r="E79" s="715"/>
      <c r="F79" s="715"/>
      <c r="G79" s="715"/>
      <c r="H79" s="715"/>
      <c r="I79" s="690"/>
      <c r="J79" s="690"/>
      <c r="K79" s="690"/>
      <c r="L79" s="690"/>
      <c r="M79" s="690"/>
      <c r="N79" s="690"/>
      <c r="O79" s="690"/>
      <c r="P79" s="690"/>
      <c r="Q79" s="690"/>
      <c r="R79" s="690"/>
      <c r="S79" s="690"/>
      <c r="T79" s="690"/>
      <c r="U79" s="690"/>
      <c r="V79" s="690"/>
      <c r="W79" s="690"/>
      <c r="X79" s="690"/>
      <c r="Y79" s="690"/>
      <c r="Z79" s="690"/>
      <c r="AA79" s="690"/>
      <c r="AB79" s="690"/>
      <c r="AC79" s="690"/>
      <c r="AD79" s="690"/>
      <c r="AE79" s="690"/>
    </row>
    <row r="80" spans="1:31" ht="15.75" customHeight="1">
      <c r="A80" s="715"/>
      <c r="B80" s="715"/>
      <c r="C80" s="715"/>
      <c r="D80" s="715"/>
      <c r="E80" s="715"/>
      <c r="F80" s="715"/>
      <c r="G80" s="715"/>
      <c r="H80" s="715"/>
      <c r="I80" s="690"/>
      <c r="J80" s="690"/>
      <c r="K80" s="690"/>
      <c r="L80" s="690"/>
      <c r="M80" s="690"/>
      <c r="N80" s="690"/>
      <c r="O80" s="690"/>
      <c r="P80" s="690"/>
      <c r="Q80" s="690"/>
      <c r="R80" s="690"/>
      <c r="S80" s="690"/>
      <c r="T80" s="690"/>
      <c r="U80" s="690"/>
      <c r="V80" s="690"/>
      <c r="W80" s="690"/>
      <c r="X80" s="690"/>
      <c r="Y80" s="690"/>
      <c r="Z80" s="690"/>
      <c r="AA80" s="690"/>
      <c r="AB80" s="690"/>
      <c r="AC80" s="690"/>
      <c r="AD80" s="690"/>
      <c r="AE80" s="690"/>
    </row>
    <row r="81" spans="1:31" ht="15.75" customHeight="1">
      <c r="A81" s="715"/>
      <c r="B81" s="715"/>
      <c r="C81" s="715"/>
      <c r="D81" s="715"/>
      <c r="E81" s="715"/>
      <c r="F81" s="715"/>
      <c r="G81" s="715"/>
      <c r="H81" s="715"/>
      <c r="I81" s="690"/>
      <c r="J81" s="690"/>
      <c r="K81" s="690"/>
      <c r="L81" s="690"/>
      <c r="M81" s="690"/>
      <c r="N81" s="690"/>
      <c r="O81" s="690"/>
      <c r="P81" s="690"/>
      <c r="Q81" s="690"/>
      <c r="R81" s="690"/>
      <c r="S81" s="690"/>
      <c r="T81" s="690"/>
      <c r="U81" s="690"/>
      <c r="V81" s="690"/>
      <c r="W81" s="690"/>
      <c r="X81" s="690"/>
      <c r="Y81" s="690"/>
      <c r="Z81" s="690"/>
      <c r="AA81" s="690"/>
      <c r="AB81" s="690"/>
      <c r="AC81" s="690"/>
      <c r="AD81" s="690"/>
      <c r="AE81" s="690"/>
    </row>
    <row r="82" spans="1:31" ht="15.75" customHeight="1">
      <c r="A82" s="715"/>
      <c r="B82" s="715"/>
      <c r="C82" s="715"/>
      <c r="D82" s="715"/>
      <c r="E82" s="715"/>
      <c r="F82" s="715"/>
      <c r="G82" s="715"/>
      <c r="H82" s="715"/>
      <c r="I82" s="690"/>
      <c r="J82" s="690"/>
      <c r="K82" s="690"/>
      <c r="L82" s="690"/>
      <c r="M82" s="690"/>
      <c r="N82" s="690"/>
      <c r="O82" s="690"/>
      <c r="P82" s="690"/>
      <c r="Q82" s="690"/>
      <c r="R82" s="690"/>
      <c r="S82" s="690"/>
      <c r="T82" s="690"/>
      <c r="U82" s="690"/>
      <c r="V82" s="690"/>
      <c r="W82" s="690"/>
      <c r="X82" s="690"/>
      <c r="Y82" s="690"/>
      <c r="Z82" s="690"/>
      <c r="AA82" s="690"/>
      <c r="AB82" s="690"/>
      <c r="AC82" s="690"/>
      <c r="AD82" s="690"/>
      <c r="AE82" s="690"/>
    </row>
    <row r="83" spans="1:31" ht="15.75" customHeight="1">
      <c r="A83" s="715"/>
      <c r="B83" s="715"/>
      <c r="C83" s="715"/>
      <c r="D83" s="715"/>
      <c r="E83" s="715"/>
      <c r="F83" s="715"/>
      <c r="G83" s="715"/>
      <c r="H83" s="715"/>
      <c r="I83" s="690"/>
      <c r="J83" s="690"/>
      <c r="K83" s="690"/>
      <c r="L83" s="690"/>
      <c r="M83" s="690"/>
      <c r="N83" s="690"/>
      <c r="O83" s="690"/>
      <c r="P83" s="690"/>
      <c r="Q83" s="690"/>
      <c r="R83" s="690"/>
      <c r="S83" s="690"/>
      <c r="T83" s="690"/>
      <c r="U83" s="690"/>
      <c r="V83" s="690"/>
      <c r="W83" s="690"/>
      <c r="X83" s="690"/>
      <c r="Y83" s="690"/>
      <c r="Z83" s="690"/>
      <c r="AA83" s="690"/>
      <c r="AB83" s="690"/>
      <c r="AC83" s="690"/>
      <c r="AD83" s="690"/>
      <c r="AE83" s="690"/>
    </row>
    <row r="84" spans="1:31" ht="15.75" customHeight="1">
      <c r="A84" s="715"/>
      <c r="B84" s="715"/>
      <c r="C84" s="715"/>
      <c r="D84" s="715"/>
      <c r="E84" s="715"/>
      <c r="F84" s="715"/>
      <c r="G84" s="715"/>
      <c r="H84" s="715"/>
      <c r="I84" s="690"/>
      <c r="J84" s="690"/>
      <c r="K84" s="690"/>
      <c r="L84" s="690"/>
      <c r="M84" s="690"/>
      <c r="N84" s="690"/>
      <c r="O84" s="690"/>
      <c r="P84" s="690"/>
      <c r="Q84" s="690"/>
      <c r="R84" s="690"/>
      <c r="S84" s="690"/>
      <c r="T84" s="690"/>
      <c r="U84" s="690"/>
      <c r="V84" s="690"/>
      <c r="W84" s="690"/>
      <c r="X84" s="690"/>
      <c r="Y84" s="690"/>
      <c r="Z84" s="690"/>
      <c r="AA84" s="690"/>
      <c r="AB84" s="690"/>
      <c r="AC84" s="690"/>
      <c r="AD84" s="690"/>
      <c r="AE84" s="690"/>
    </row>
    <row r="85" spans="1:31" ht="15.75" customHeight="1">
      <c r="A85" s="715"/>
      <c r="B85" s="715"/>
      <c r="C85" s="715"/>
      <c r="D85" s="715"/>
      <c r="E85" s="715"/>
      <c r="F85" s="715"/>
      <c r="G85" s="715"/>
      <c r="H85" s="715"/>
      <c r="I85" s="690"/>
      <c r="J85" s="690"/>
      <c r="K85" s="690"/>
      <c r="L85" s="690"/>
      <c r="M85" s="690"/>
      <c r="N85" s="690"/>
      <c r="O85" s="690"/>
      <c r="P85" s="690"/>
      <c r="Q85" s="690"/>
      <c r="R85" s="690"/>
      <c r="S85" s="690"/>
      <c r="T85" s="690"/>
      <c r="U85" s="690"/>
      <c r="V85" s="690"/>
      <c r="W85" s="690"/>
      <c r="X85" s="690"/>
      <c r="Y85" s="690"/>
      <c r="Z85" s="690"/>
      <c r="AA85" s="690"/>
      <c r="AB85" s="690"/>
      <c r="AC85" s="690"/>
      <c r="AD85" s="690"/>
      <c r="AE85" s="690"/>
    </row>
    <row r="86" spans="1:31" ht="15.75" customHeight="1">
      <c r="A86" s="715"/>
      <c r="B86" s="715"/>
      <c r="C86" s="715"/>
      <c r="D86" s="715"/>
      <c r="E86" s="715"/>
      <c r="F86" s="715"/>
      <c r="G86" s="715"/>
      <c r="H86" s="715"/>
      <c r="I86" s="690"/>
      <c r="J86" s="690"/>
      <c r="K86" s="690"/>
      <c r="L86" s="690"/>
      <c r="M86" s="690"/>
      <c r="N86" s="690"/>
      <c r="O86" s="690"/>
      <c r="P86" s="690"/>
      <c r="Q86" s="690"/>
      <c r="R86" s="690"/>
      <c r="S86" s="690"/>
      <c r="T86" s="690"/>
      <c r="U86" s="690"/>
      <c r="V86" s="690"/>
      <c r="W86" s="690"/>
      <c r="X86" s="690"/>
      <c r="Y86" s="690"/>
      <c r="Z86" s="690"/>
      <c r="AA86" s="690"/>
      <c r="AB86" s="690"/>
      <c r="AC86" s="690"/>
      <c r="AD86" s="690"/>
      <c r="AE86" s="690"/>
    </row>
    <row r="87" spans="1:31" ht="15.75" customHeight="1">
      <c r="A87" s="715"/>
      <c r="B87" s="715"/>
      <c r="C87" s="715"/>
      <c r="D87" s="715"/>
      <c r="E87" s="715"/>
      <c r="F87" s="715"/>
      <c r="G87" s="715"/>
      <c r="H87" s="715"/>
      <c r="I87" s="690"/>
      <c r="J87" s="690"/>
      <c r="K87" s="690"/>
      <c r="L87" s="690"/>
      <c r="M87" s="690"/>
      <c r="N87" s="690"/>
      <c r="O87" s="690"/>
      <c r="P87" s="690"/>
      <c r="Q87" s="690"/>
      <c r="R87" s="690"/>
      <c r="S87" s="690"/>
      <c r="T87" s="690"/>
      <c r="U87" s="690"/>
      <c r="V87" s="690"/>
      <c r="W87" s="690"/>
      <c r="X87" s="690"/>
      <c r="Y87" s="690"/>
      <c r="Z87" s="690"/>
      <c r="AA87" s="690"/>
      <c r="AB87" s="690"/>
      <c r="AC87" s="690"/>
      <c r="AD87" s="690"/>
      <c r="AE87" s="690"/>
    </row>
    <row r="88" spans="1:31" ht="15.75" customHeight="1">
      <c r="A88" s="715"/>
      <c r="B88" s="715"/>
      <c r="C88" s="715"/>
      <c r="D88" s="715"/>
      <c r="E88" s="715"/>
      <c r="F88" s="715"/>
      <c r="G88" s="715"/>
      <c r="H88" s="715"/>
      <c r="I88" s="690"/>
      <c r="J88" s="690"/>
      <c r="K88" s="690"/>
      <c r="L88" s="690"/>
      <c r="M88" s="690"/>
      <c r="N88" s="690"/>
      <c r="O88" s="690"/>
      <c r="P88" s="690"/>
      <c r="Q88" s="690"/>
      <c r="R88" s="690"/>
      <c r="S88" s="690"/>
      <c r="T88" s="690"/>
      <c r="U88" s="690"/>
      <c r="V88" s="690"/>
      <c r="W88" s="690"/>
      <c r="X88" s="690"/>
      <c r="Y88" s="690"/>
      <c r="Z88" s="690"/>
      <c r="AA88" s="690"/>
      <c r="AB88" s="690"/>
      <c r="AC88" s="690"/>
      <c r="AD88" s="690"/>
      <c r="AE88" s="690"/>
    </row>
    <row r="89" spans="1:31" ht="15.75" customHeight="1">
      <c r="A89" s="715"/>
      <c r="B89" s="715"/>
      <c r="C89" s="715"/>
      <c r="D89" s="715"/>
      <c r="E89" s="715"/>
      <c r="F89" s="715"/>
      <c r="G89" s="715"/>
      <c r="H89" s="715"/>
      <c r="I89" s="690"/>
      <c r="J89" s="690"/>
      <c r="K89" s="690"/>
      <c r="L89" s="690"/>
      <c r="M89" s="690"/>
      <c r="N89" s="690"/>
      <c r="O89" s="690"/>
      <c r="P89" s="690"/>
      <c r="Q89" s="690"/>
      <c r="R89" s="690"/>
      <c r="S89" s="690"/>
      <c r="T89" s="690"/>
      <c r="U89" s="690"/>
      <c r="V89" s="690"/>
      <c r="W89" s="690"/>
      <c r="X89" s="690"/>
      <c r="Y89" s="690"/>
      <c r="Z89" s="690"/>
      <c r="AA89" s="690"/>
      <c r="AB89" s="690"/>
      <c r="AC89" s="690"/>
      <c r="AD89" s="690"/>
      <c r="AE89" s="690"/>
    </row>
    <row r="90" spans="1:31" ht="15.75" customHeight="1">
      <c r="A90" s="715"/>
      <c r="B90" s="715"/>
      <c r="C90" s="715"/>
      <c r="D90" s="715"/>
      <c r="E90" s="715"/>
      <c r="F90" s="715"/>
      <c r="G90" s="715"/>
      <c r="H90" s="715"/>
      <c r="I90" s="690"/>
      <c r="J90" s="690"/>
      <c r="K90" s="690"/>
      <c r="L90" s="690"/>
      <c r="M90" s="690"/>
      <c r="N90" s="690"/>
      <c r="O90" s="690"/>
      <c r="P90" s="690"/>
      <c r="Q90" s="690"/>
      <c r="R90" s="690"/>
      <c r="S90" s="690"/>
      <c r="T90" s="690"/>
      <c r="U90" s="690"/>
      <c r="V90" s="690"/>
      <c r="W90" s="690"/>
      <c r="X90" s="690"/>
      <c r="Y90" s="690"/>
      <c r="Z90" s="690"/>
      <c r="AA90" s="690"/>
      <c r="AB90" s="690"/>
      <c r="AC90" s="690"/>
      <c r="AD90" s="690"/>
      <c r="AE90" s="690"/>
    </row>
    <row r="91" spans="1:31" ht="15.75" customHeight="1">
      <c r="A91" s="715"/>
      <c r="B91" s="715"/>
      <c r="C91" s="715"/>
      <c r="D91" s="715"/>
      <c r="E91" s="715"/>
      <c r="F91" s="715"/>
      <c r="G91" s="715"/>
      <c r="H91" s="715"/>
      <c r="I91" s="690"/>
      <c r="J91" s="690"/>
      <c r="K91" s="690"/>
      <c r="L91" s="690"/>
      <c r="M91" s="690"/>
      <c r="N91" s="690"/>
      <c r="O91" s="690"/>
      <c r="P91" s="690"/>
      <c r="Q91" s="690"/>
      <c r="R91" s="690"/>
      <c r="S91" s="690"/>
      <c r="T91" s="690"/>
      <c r="U91" s="690"/>
      <c r="V91" s="690"/>
      <c r="W91" s="690"/>
      <c r="X91" s="690"/>
      <c r="Y91" s="690"/>
      <c r="Z91" s="690"/>
      <c r="AA91" s="690"/>
      <c r="AB91" s="690"/>
      <c r="AC91" s="690"/>
      <c r="AD91" s="690"/>
      <c r="AE91" s="690"/>
    </row>
    <row r="92" spans="1:31" ht="15.75" customHeight="1">
      <c r="A92" s="715"/>
      <c r="B92" s="715"/>
      <c r="C92" s="715"/>
      <c r="D92" s="715"/>
      <c r="E92" s="715"/>
      <c r="F92" s="715"/>
      <c r="G92" s="715"/>
      <c r="H92" s="715"/>
      <c r="I92" s="690"/>
      <c r="J92" s="690"/>
      <c r="K92" s="690"/>
      <c r="L92" s="690"/>
      <c r="M92" s="690"/>
      <c r="N92" s="690"/>
      <c r="O92" s="690"/>
      <c r="P92" s="690"/>
      <c r="Q92" s="690"/>
      <c r="R92" s="690"/>
      <c r="S92" s="690"/>
      <c r="T92" s="690"/>
      <c r="U92" s="690"/>
      <c r="V92" s="690"/>
      <c r="W92" s="690"/>
      <c r="X92" s="690"/>
      <c r="Y92" s="690"/>
      <c r="Z92" s="690"/>
      <c r="AA92" s="690"/>
      <c r="AB92" s="690"/>
      <c r="AC92" s="690"/>
      <c r="AD92" s="690"/>
      <c r="AE92" s="690"/>
    </row>
    <row r="93" spans="1:31" ht="15.75" customHeight="1">
      <c r="A93" s="715"/>
      <c r="B93" s="715"/>
      <c r="C93" s="715"/>
      <c r="D93" s="715"/>
      <c r="E93" s="715"/>
      <c r="F93" s="715"/>
      <c r="G93" s="715"/>
      <c r="H93" s="715"/>
      <c r="I93" s="690"/>
      <c r="J93" s="690"/>
      <c r="K93" s="690"/>
      <c r="L93" s="690"/>
      <c r="M93" s="690"/>
      <c r="N93" s="690"/>
      <c r="O93" s="690"/>
      <c r="P93" s="690"/>
      <c r="Q93" s="690"/>
      <c r="R93" s="690"/>
      <c r="S93" s="690"/>
      <c r="T93" s="690"/>
      <c r="U93" s="690"/>
      <c r="V93" s="690"/>
      <c r="W93" s="690"/>
      <c r="X93" s="690"/>
      <c r="Y93" s="690"/>
      <c r="Z93" s="690"/>
      <c r="AA93" s="690"/>
      <c r="AB93" s="690"/>
      <c r="AC93" s="690"/>
      <c r="AD93" s="690"/>
      <c r="AE93" s="690"/>
    </row>
    <row r="94" spans="1:31" ht="15.75" customHeight="1">
      <c r="A94" s="715"/>
      <c r="B94" s="715"/>
      <c r="C94" s="715"/>
      <c r="D94" s="715"/>
      <c r="E94" s="715"/>
      <c r="F94" s="715"/>
      <c r="G94" s="715"/>
      <c r="H94" s="715"/>
      <c r="I94" s="690"/>
      <c r="J94" s="690"/>
      <c r="K94" s="690"/>
      <c r="L94" s="690"/>
      <c r="M94" s="690"/>
      <c r="N94" s="690"/>
      <c r="O94" s="690"/>
      <c r="P94" s="690"/>
      <c r="Q94" s="690"/>
      <c r="R94" s="690"/>
      <c r="S94" s="690"/>
      <c r="T94" s="690"/>
      <c r="U94" s="690"/>
      <c r="V94" s="690"/>
      <c r="W94" s="690"/>
      <c r="X94" s="690"/>
      <c r="Y94" s="690"/>
      <c r="Z94" s="690"/>
      <c r="AA94" s="690"/>
      <c r="AB94" s="690"/>
      <c r="AC94" s="690"/>
      <c r="AD94" s="690"/>
      <c r="AE94" s="690"/>
    </row>
    <row r="95" spans="1:31" ht="15.75" customHeight="1">
      <c r="A95" s="715"/>
      <c r="B95" s="715"/>
      <c r="C95" s="715"/>
      <c r="D95" s="715"/>
      <c r="E95" s="715"/>
      <c r="F95" s="715"/>
      <c r="G95" s="715"/>
      <c r="H95" s="715"/>
      <c r="I95" s="690"/>
      <c r="J95" s="690"/>
      <c r="K95" s="690"/>
      <c r="L95" s="690"/>
      <c r="M95" s="690"/>
      <c r="N95" s="690"/>
      <c r="O95" s="690"/>
      <c r="P95" s="690"/>
      <c r="Q95" s="690"/>
      <c r="R95" s="690"/>
      <c r="S95" s="690"/>
      <c r="T95" s="690"/>
      <c r="U95" s="690"/>
      <c r="V95" s="690"/>
      <c r="W95" s="690"/>
      <c r="X95" s="690"/>
      <c r="Y95" s="690"/>
      <c r="Z95" s="690"/>
      <c r="AA95" s="690"/>
      <c r="AB95" s="690"/>
      <c r="AC95" s="690"/>
      <c r="AD95" s="690"/>
      <c r="AE95" s="690"/>
    </row>
    <row r="96" spans="1:31" ht="15.75" customHeight="1">
      <c r="A96" s="715"/>
      <c r="B96" s="715"/>
      <c r="C96" s="715"/>
      <c r="D96" s="715"/>
      <c r="E96" s="715"/>
      <c r="F96" s="715"/>
      <c r="G96" s="715"/>
      <c r="H96" s="715"/>
      <c r="I96" s="690"/>
      <c r="J96" s="690"/>
      <c r="K96" s="690"/>
      <c r="L96" s="690"/>
      <c r="M96" s="690"/>
      <c r="N96" s="690"/>
      <c r="O96" s="690"/>
      <c r="P96" s="690"/>
      <c r="Q96" s="690"/>
      <c r="R96" s="690"/>
      <c r="S96" s="690"/>
      <c r="T96" s="690"/>
      <c r="U96" s="690"/>
      <c r="V96" s="690"/>
      <c r="W96" s="690"/>
      <c r="X96" s="690"/>
      <c r="Y96" s="690"/>
      <c r="Z96" s="690"/>
      <c r="AA96" s="690"/>
      <c r="AB96" s="690"/>
      <c r="AC96" s="690"/>
      <c r="AD96" s="690"/>
      <c r="AE96" s="690"/>
    </row>
    <row r="97" spans="1:31" ht="15.75" customHeight="1">
      <c r="A97" s="715"/>
      <c r="B97" s="715"/>
      <c r="C97" s="715"/>
      <c r="D97" s="715"/>
      <c r="E97" s="715"/>
      <c r="F97" s="715"/>
      <c r="G97" s="715"/>
      <c r="H97" s="715"/>
      <c r="I97" s="690"/>
      <c r="J97" s="690"/>
      <c r="K97" s="690"/>
      <c r="L97" s="690"/>
      <c r="M97" s="690"/>
      <c r="N97" s="690"/>
      <c r="O97" s="690"/>
      <c r="P97" s="690"/>
      <c r="Q97" s="690"/>
      <c r="R97" s="690"/>
      <c r="S97" s="690"/>
      <c r="T97" s="690"/>
      <c r="U97" s="690"/>
      <c r="V97" s="690"/>
      <c r="W97" s="690"/>
      <c r="X97" s="690"/>
      <c r="Y97" s="690"/>
      <c r="Z97" s="690"/>
      <c r="AA97" s="690"/>
      <c r="AB97" s="690"/>
      <c r="AC97" s="690"/>
      <c r="AD97" s="690"/>
      <c r="AE97" s="690"/>
    </row>
    <row r="98" spans="1:31" ht="15.75" customHeight="1">
      <c r="A98" s="715"/>
      <c r="B98" s="715"/>
      <c r="C98" s="715"/>
      <c r="D98" s="715"/>
      <c r="E98" s="715"/>
      <c r="F98" s="715"/>
      <c r="G98" s="715"/>
      <c r="H98" s="715"/>
      <c r="I98" s="690"/>
      <c r="J98" s="690"/>
      <c r="K98" s="690"/>
      <c r="L98" s="690"/>
      <c r="M98" s="690"/>
      <c r="N98" s="690"/>
      <c r="O98" s="690"/>
      <c r="P98" s="690"/>
      <c r="Q98" s="690"/>
      <c r="R98" s="690"/>
      <c r="S98" s="690"/>
      <c r="T98" s="690"/>
      <c r="U98" s="690"/>
      <c r="V98" s="690"/>
      <c r="W98" s="690"/>
      <c r="X98" s="690"/>
      <c r="Y98" s="690"/>
      <c r="Z98" s="690"/>
      <c r="AA98" s="690"/>
      <c r="AB98" s="690"/>
      <c r="AC98" s="690"/>
      <c r="AD98" s="690"/>
      <c r="AE98" s="690"/>
    </row>
    <row r="99" spans="1:31" ht="15.75" customHeight="1">
      <c r="A99" s="715"/>
      <c r="B99" s="715"/>
      <c r="C99" s="715"/>
      <c r="D99" s="715"/>
      <c r="E99" s="715"/>
      <c r="F99" s="715"/>
      <c r="G99" s="715"/>
      <c r="H99" s="715"/>
      <c r="I99" s="690"/>
      <c r="J99" s="690"/>
      <c r="K99" s="690"/>
      <c r="L99" s="690"/>
      <c r="M99" s="690"/>
      <c r="N99" s="690"/>
      <c r="O99" s="690"/>
      <c r="P99" s="690"/>
      <c r="Q99" s="690"/>
      <c r="R99" s="690"/>
      <c r="S99" s="690"/>
      <c r="T99" s="690"/>
      <c r="U99" s="690"/>
      <c r="V99" s="690"/>
      <c r="W99" s="690"/>
      <c r="X99" s="690"/>
      <c r="Y99" s="690"/>
      <c r="Z99" s="690"/>
      <c r="AA99" s="690"/>
      <c r="AB99" s="690"/>
      <c r="AC99" s="690"/>
      <c r="AD99" s="690"/>
      <c r="AE99" s="690"/>
    </row>
    <row r="100" spans="1:31" ht="15.75" customHeight="1">
      <c r="A100" s="715"/>
      <c r="B100" s="715"/>
      <c r="C100" s="715"/>
      <c r="D100" s="715"/>
      <c r="E100" s="715"/>
      <c r="F100" s="715"/>
      <c r="G100" s="715"/>
      <c r="H100" s="715"/>
      <c r="I100" s="690"/>
      <c r="J100" s="690"/>
      <c r="K100" s="690"/>
      <c r="L100" s="690"/>
      <c r="M100" s="690"/>
      <c r="N100" s="690"/>
      <c r="O100" s="690"/>
      <c r="P100" s="690"/>
      <c r="Q100" s="690"/>
      <c r="R100" s="690"/>
      <c r="S100" s="690"/>
      <c r="T100" s="690"/>
      <c r="U100" s="690"/>
      <c r="V100" s="690"/>
      <c r="W100" s="690"/>
      <c r="X100" s="690"/>
      <c r="Y100" s="690"/>
      <c r="Z100" s="690"/>
      <c r="AA100" s="690"/>
      <c r="AB100" s="690"/>
      <c r="AC100" s="690"/>
      <c r="AD100" s="690"/>
      <c r="AE100" s="690"/>
    </row>
    <row r="101" spans="1:31" ht="15.75" customHeight="1">
      <c r="A101" s="715"/>
      <c r="B101" s="715"/>
      <c r="C101" s="715"/>
      <c r="D101" s="715"/>
      <c r="E101" s="715"/>
      <c r="F101" s="715"/>
      <c r="G101" s="715"/>
      <c r="H101" s="715"/>
      <c r="I101" s="690"/>
      <c r="J101" s="690"/>
      <c r="K101" s="690"/>
      <c r="L101" s="690"/>
      <c r="M101" s="690"/>
      <c r="N101" s="690"/>
      <c r="O101" s="690"/>
      <c r="P101" s="690"/>
      <c r="Q101" s="690"/>
      <c r="R101" s="690"/>
      <c r="S101" s="690"/>
      <c r="T101" s="690"/>
      <c r="U101" s="690"/>
      <c r="V101" s="690"/>
      <c r="W101" s="690"/>
      <c r="X101" s="690"/>
      <c r="Y101" s="690"/>
      <c r="Z101" s="690"/>
      <c r="AA101" s="690"/>
      <c r="AB101" s="690"/>
      <c r="AC101" s="690"/>
      <c r="AD101" s="690"/>
      <c r="AE101" s="690"/>
    </row>
    <row r="102" spans="1:31" ht="15.75" customHeight="1">
      <c r="A102" s="715"/>
      <c r="B102" s="715"/>
      <c r="C102" s="715"/>
      <c r="D102" s="715"/>
      <c r="E102" s="715"/>
      <c r="F102" s="715"/>
      <c r="G102" s="715"/>
      <c r="H102" s="715"/>
      <c r="I102" s="690"/>
      <c r="J102" s="690"/>
      <c r="K102" s="690"/>
      <c r="L102" s="690"/>
      <c r="M102" s="690"/>
      <c r="N102" s="690"/>
      <c r="O102" s="690"/>
      <c r="P102" s="690"/>
      <c r="Q102" s="690"/>
      <c r="R102" s="690"/>
      <c r="S102" s="690"/>
      <c r="T102" s="690"/>
      <c r="U102" s="690"/>
      <c r="V102" s="690"/>
      <c r="W102" s="690"/>
      <c r="X102" s="690"/>
      <c r="Y102" s="690"/>
      <c r="Z102" s="690"/>
      <c r="AA102" s="690"/>
      <c r="AB102" s="690"/>
      <c r="AC102" s="690"/>
      <c r="AD102" s="690"/>
      <c r="AE102" s="690"/>
    </row>
    <row r="103" spans="1:31" ht="15.75" customHeight="1">
      <c r="A103" s="715"/>
      <c r="B103" s="715"/>
      <c r="C103" s="715"/>
      <c r="D103" s="715"/>
      <c r="E103" s="715"/>
      <c r="F103" s="715"/>
      <c r="G103" s="715"/>
      <c r="H103" s="715"/>
      <c r="I103" s="690"/>
      <c r="J103" s="690"/>
      <c r="K103" s="690"/>
      <c r="L103" s="690"/>
      <c r="M103" s="690"/>
      <c r="N103" s="690"/>
      <c r="O103" s="690"/>
      <c r="P103" s="690"/>
      <c r="Q103" s="690"/>
      <c r="R103" s="690"/>
      <c r="S103" s="690"/>
      <c r="T103" s="690"/>
      <c r="U103" s="690"/>
      <c r="V103" s="690"/>
      <c r="W103" s="690"/>
      <c r="X103" s="690"/>
      <c r="Y103" s="690"/>
      <c r="Z103" s="690"/>
      <c r="AA103" s="690"/>
      <c r="AB103" s="690"/>
      <c r="AC103" s="690"/>
      <c r="AD103" s="690"/>
      <c r="AE103" s="690"/>
    </row>
    <row r="104" spans="1:31" ht="15.75" customHeight="1">
      <c r="A104" s="715"/>
      <c r="B104" s="715"/>
      <c r="C104" s="715"/>
      <c r="D104" s="715"/>
      <c r="E104" s="715"/>
      <c r="F104" s="715"/>
      <c r="G104" s="715"/>
      <c r="H104" s="715"/>
      <c r="I104" s="690"/>
      <c r="J104" s="690"/>
      <c r="K104" s="690"/>
      <c r="L104" s="690"/>
      <c r="M104" s="690"/>
      <c r="N104" s="690"/>
      <c r="O104" s="690"/>
      <c r="P104" s="690"/>
      <c r="Q104" s="690"/>
      <c r="R104" s="690"/>
      <c r="S104" s="690"/>
      <c r="T104" s="690"/>
      <c r="U104" s="690"/>
      <c r="V104" s="690"/>
      <c r="W104" s="690"/>
      <c r="X104" s="690"/>
      <c r="Y104" s="690"/>
      <c r="Z104" s="690"/>
      <c r="AA104" s="690"/>
      <c r="AB104" s="690"/>
      <c r="AC104" s="690"/>
      <c r="AD104" s="690"/>
      <c r="AE104" s="690"/>
    </row>
    <row r="105" spans="1:31" ht="15.75" customHeight="1">
      <c r="A105" s="715"/>
      <c r="B105" s="715"/>
      <c r="C105" s="715"/>
      <c r="D105" s="715"/>
      <c r="E105" s="715"/>
      <c r="F105" s="715"/>
      <c r="G105" s="715"/>
      <c r="H105" s="715"/>
      <c r="I105" s="690"/>
      <c r="J105" s="690"/>
      <c r="K105" s="690"/>
      <c r="L105" s="690"/>
      <c r="M105" s="690"/>
      <c r="N105" s="690"/>
      <c r="O105" s="690"/>
      <c r="P105" s="690"/>
      <c r="Q105" s="690"/>
      <c r="R105" s="690"/>
      <c r="S105" s="690"/>
      <c r="T105" s="690"/>
      <c r="U105" s="690"/>
      <c r="V105" s="690"/>
      <c r="W105" s="690"/>
      <c r="X105" s="690"/>
      <c r="Y105" s="690"/>
      <c r="Z105" s="690"/>
      <c r="AA105" s="690"/>
      <c r="AB105" s="690"/>
      <c r="AC105" s="690"/>
      <c r="AD105" s="690"/>
      <c r="AE105" s="690"/>
    </row>
    <row r="106" spans="1:31" ht="15.75" customHeight="1">
      <c r="A106" s="715"/>
      <c r="B106" s="715"/>
      <c r="C106" s="715"/>
      <c r="D106" s="715"/>
      <c r="E106" s="715"/>
      <c r="F106" s="715"/>
      <c r="G106" s="715"/>
      <c r="H106" s="715"/>
      <c r="I106" s="690"/>
      <c r="J106" s="690"/>
      <c r="K106" s="690"/>
      <c r="L106" s="690"/>
      <c r="M106" s="690"/>
      <c r="N106" s="690"/>
      <c r="O106" s="690"/>
      <c r="P106" s="690"/>
      <c r="Q106" s="690"/>
      <c r="R106" s="690"/>
      <c r="S106" s="690"/>
      <c r="T106" s="690"/>
      <c r="U106" s="690"/>
      <c r="V106" s="690"/>
      <c r="W106" s="690"/>
      <c r="X106" s="690"/>
      <c r="Y106" s="690"/>
      <c r="Z106" s="690"/>
      <c r="AA106" s="690"/>
      <c r="AB106" s="690"/>
      <c r="AC106" s="690"/>
      <c r="AD106" s="690"/>
      <c r="AE106" s="690"/>
    </row>
    <row r="107" spans="1:31" ht="15.75" customHeight="1">
      <c r="A107" s="715"/>
      <c r="B107" s="715"/>
      <c r="C107" s="715"/>
      <c r="D107" s="715"/>
      <c r="E107" s="715"/>
      <c r="F107" s="715"/>
      <c r="G107" s="715"/>
      <c r="H107" s="715"/>
      <c r="I107" s="690"/>
      <c r="J107" s="690"/>
      <c r="K107" s="690"/>
      <c r="L107" s="690"/>
      <c r="M107" s="690"/>
      <c r="N107" s="690"/>
      <c r="O107" s="690"/>
      <c r="P107" s="690"/>
      <c r="Q107" s="690"/>
      <c r="R107" s="690"/>
      <c r="S107" s="690"/>
      <c r="T107" s="690"/>
      <c r="U107" s="690"/>
      <c r="V107" s="690"/>
      <c r="W107" s="690"/>
      <c r="X107" s="690"/>
      <c r="Y107" s="690"/>
      <c r="Z107" s="690"/>
      <c r="AA107" s="690"/>
      <c r="AB107" s="690"/>
      <c r="AC107" s="690"/>
      <c r="AD107" s="690"/>
      <c r="AE107" s="690"/>
    </row>
    <row r="108" spans="1:31" ht="15.75" customHeight="1">
      <c r="A108" s="715"/>
      <c r="B108" s="715"/>
      <c r="C108" s="715"/>
      <c r="D108" s="715"/>
      <c r="E108" s="715"/>
      <c r="F108" s="715"/>
      <c r="G108" s="715"/>
      <c r="H108" s="715"/>
      <c r="I108" s="690"/>
      <c r="J108" s="690"/>
      <c r="K108" s="690"/>
      <c r="L108" s="690"/>
      <c r="M108" s="690"/>
      <c r="N108" s="690"/>
      <c r="O108" s="690"/>
      <c r="P108" s="690"/>
      <c r="Q108" s="690"/>
      <c r="R108" s="690"/>
      <c r="S108" s="690"/>
      <c r="T108" s="690"/>
      <c r="U108" s="690"/>
      <c r="V108" s="690"/>
      <c r="W108" s="690"/>
      <c r="X108" s="690"/>
      <c r="Y108" s="690"/>
      <c r="Z108" s="690"/>
      <c r="AA108" s="690"/>
      <c r="AB108" s="690"/>
      <c r="AC108" s="690"/>
      <c r="AD108" s="690"/>
      <c r="AE108" s="690"/>
    </row>
    <row r="109" spans="1:31" ht="15.75" customHeight="1">
      <c r="A109" s="715"/>
      <c r="B109" s="715"/>
      <c r="C109" s="715"/>
      <c r="D109" s="715"/>
      <c r="E109" s="715"/>
      <c r="F109" s="715"/>
      <c r="G109" s="715"/>
      <c r="H109" s="715"/>
      <c r="I109" s="690"/>
      <c r="J109" s="690"/>
      <c r="K109" s="690"/>
      <c r="L109" s="690"/>
      <c r="M109" s="690"/>
      <c r="N109" s="690"/>
      <c r="O109" s="690"/>
      <c r="P109" s="690"/>
      <c r="Q109" s="690"/>
      <c r="R109" s="690"/>
      <c r="S109" s="690"/>
      <c r="T109" s="690"/>
      <c r="U109" s="690"/>
      <c r="V109" s="690"/>
      <c r="W109" s="690"/>
      <c r="X109" s="690"/>
      <c r="Y109" s="690"/>
      <c r="Z109" s="690"/>
      <c r="AA109" s="690"/>
      <c r="AB109" s="690"/>
      <c r="AC109" s="690"/>
      <c r="AD109" s="690"/>
      <c r="AE109" s="690"/>
    </row>
    <row r="110" spans="1:31" ht="15.75" customHeight="1">
      <c r="A110" s="715"/>
      <c r="B110" s="715"/>
      <c r="C110" s="715"/>
      <c r="D110" s="715"/>
      <c r="E110" s="715"/>
      <c r="F110" s="715"/>
      <c r="G110" s="715"/>
      <c r="H110" s="715"/>
      <c r="I110" s="690"/>
      <c r="J110" s="690"/>
      <c r="K110" s="690"/>
      <c r="L110" s="690"/>
      <c r="M110" s="690"/>
      <c r="N110" s="690"/>
      <c r="O110" s="690"/>
      <c r="P110" s="690"/>
      <c r="Q110" s="690"/>
      <c r="R110" s="690"/>
      <c r="S110" s="690"/>
      <c r="T110" s="690"/>
      <c r="U110" s="690"/>
      <c r="V110" s="690"/>
      <c r="W110" s="690"/>
      <c r="X110" s="690"/>
      <c r="Y110" s="690"/>
      <c r="Z110" s="690"/>
      <c r="AA110" s="690"/>
      <c r="AB110" s="690"/>
      <c r="AC110" s="690"/>
      <c r="AD110" s="690"/>
      <c r="AE110" s="690"/>
    </row>
    <row r="111" spans="1:31" ht="15.75" customHeight="1">
      <c r="A111" s="715"/>
      <c r="B111" s="715"/>
      <c r="C111" s="715"/>
      <c r="D111" s="715"/>
      <c r="E111" s="715"/>
      <c r="F111" s="715"/>
      <c r="G111" s="715"/>
      <c r="H111" s="715"/>
      <c r="I111" s="690"/>
      <c r="J111" s="690"/>
      <c r="K111" s="690"/>
      <c r="L111" s="690"/>
      <c r="M111" s="690"/>
      <c r="N111" s="690"/>
      <c r="O111" s="690"/>
      <c r="P111" s="690"/>
      <c r="Q111" s="690"/>
      <c r="R111" s="690"/>
      <c r="S111" s="690"/>
      <c r="T111" s="690"/>
      <c r="U111" s="690"/>
      <c r="V111" s="690"/>
      <c r="W111" s="690"/>
      <c r="X111" s="690"/>
      <c r="Y111" s="690"/>
      <c r="Z111" s="690"/>
      <c r="AA111" s="690"/>
      <c r="AB111" s="690"/>
      <c r="AC111" s="690"/>
      <c r="AD111" s="690"/>
      <c r="AE111" s="690"/>
    </row>
    <row r="112" spans="1:31" ht="15.75" customHeight="1">
      <c r="A112" s="715"/>
      <c r="B112" s="715"/>
      <c r="C112" s="715"/>
      <c r="D112" s="715"/>
      <c r="E112" s="715"/>
      <c r="F112" s="715"/>
      <c r="G112" s="715"/>
      <c r="H112" s="715"/>
      <c r="I112" s="690"/>
      <c r="J112" s="690"/>
      <c r="K112" s="690"/>
      <c r="L112" s="690"/>
      <c r="M112" s="690"/>
      <c r="N112" s="690"/>
      <c r="O112" s="690"/>
      <c r="P112" s="690"/>
      <c r="Q112" s="690"/>
      <c r="R112" s="690"/>
      <c r="S112" s="690"/>
      <c r="T112" s="690"/>
      <c r="U112" s="690"/>
      <c r="V112" s="690"/>
      <c r="W112" s="690"/>
      <c r="X112" s="690"/>
      <c r="Y112" s="690"/>
      <c r="Z112" s="690"/>
      <c r="AA112" s="690"/>
      <c r="AB112" s="690"/>
      <c r="AC112" s="690"/>
      <c r="AD112" s="690"/>
      <c r="AE112" s="690"/>
    </row>
    <row r="113" spans="1:31" ht="15.75" customHeight="1">
      <c r="A113" s="715"/>
      <c r="B113" s="715"/>
      <c r="C113" s="715"/>
      <c r="D113" s="715"/>
      <c r="E113" s="715"/>
      <c r="F113" s="715"/>
      <c r="G113" s="715"/>
      <c r="H113" s="715"/>
      <c r="I113" s="690"/>
      <c r="J113" s="690"/>
      <c r="K113" s="690"/>
      <c r="L113" s="690"/>
      <c r="M113" s="690"/>
      <c r="N113" s="690"/>
      <c r="O113" s="690"/>
      <c r="P113" s="690"/>
      <c r="Q113" s="690"/>
      <c r="R113" s="690"/>
      <c r="S113" s="690"/>
      <c r="T113" s="690"/>
      <c r="U113" s="690"/>
      <c r="V113" s="690"/>
      <c r="W113" s="690"/>
      <c r="X113" s="690"/>
      <c r="Y113" s="690"/>
      <c r="Z113" s="690"/>
      <c r="AA113" s="690"/>
      <c r="AB113" s="690"/>
      <c r="AC113" s="690"/>
      <c r="AD113" s="690"/>
      <c r="AE113" s="690"/>
    </row>
    <row r="114" spans="1:31" ht="15.75" customHeight="1">
      <c r="A114" s="715"/>
      <c r="B114" s="715"/>
      <c r="C114" s="715"/>
      <c r="D114" s="715"/>
      <c r="E114" s="715"/>
      <c r="F114" s="715"/>
      <c r="G114" s="715"/>
      <c r="H114" s="715"/>
      <c r="I114" s="690"/>
      <c r="J114" s="690"/>
      <c r="K114" s="690"/>
      <c r="L114" s="690"/>
      <c r="M114" s="690"/>
      <c r="N114" s="690"/>
      <c r="O114" s="690"/>
      <c r="P114" s="690"/>
      <c r="Q114" s="690"/>
      <c r="R114" s="690"/>
      <c r="S114" s="690"/>
      <c r="T114" s="690"/>
      <c r="U114" s="690"/>
      <c r="V114" s="690"/>
      <c r="W114" s="690"/>
      <c r="X114" s="690"/>
      <c r="Y114" s="690"/>
      <c r="Z114" s="690"/>
      <c r="AA114" s="690"/>
      <c r="AB114" s="690"/>
      <c r="AC114" s="690"/>
      <c r="AD114" s="690"/>
      <c r="AE114" s="690"/>
    </row>
    <row r="115" spans="1:31" ht="15.75" customHeight="1">
      <c r="A115" s="715"/>
      <c r="B115" s="715"/>
      <c r="C115" s="715"/>
      <c r="D115" s="715"/>
      <c r="E115" s="715"/>
      <c r="F115" s="715"/>
      <c r="G115" s="715"/>
      <c r="H115" s="715"/>
      <c r="I115" s="690"/>
      <c r="J115" s="690"/>
      <c r="K115" s="690"/>
      <c r="L115" s="690"/>
      <c r="M115" s="690"/>
      <c r="N115" s="690"/>
      <c r="O115" s="690"/>
      <c r="P115" s="690"/>
      <c r="Q115" s="690"/>
      <c r="R115" s="690"/>
      <c r="S115" s="690"/>
      <c r="T115" s="690"/>
      <c r="U115" s="690"/>
      <c r="V115" s="690"/>
      <c r="W115" s="690"/>
      <c r="X115" s="690"/>
      <c r="Y115" s="690"/>
      <c r="Z115" s="690"/>
      <c r="AA115" s="690"/>
      <c r="AB115" s="690"/>
      <c r="AC115" s="690"/>
      <c r="AD115" s="690"/>
      <c r="AE115" s="690"/>
    </row>
    <row r="116" spans="1:31" ht="15.75" customHeight="1">
      <c r="A116" s="715"/>
      <c r="B116" s="715"/>
      <c r="C116" s="715"/>
      <c r="D116" s="715"/>
      <c r="E116" s="715"/>
      <c r="F116" s="715"/>
      <c r="G116" s="715"/>
      <c r="H116" s="715"/>
      <c r="I116" s="690"/>
      <c r="J116" s="690"/>
      <c r="K116" s="690"/>
      <c r="L116" s="690"/>
      <c r="M116" s="690"/>
      <c r="N116" s="690"/>
      <c r="O116" s="690"/>
      <c r="P116" s="690"/>
      <c r="Q116" s="690"/>
      <c r="R116" s="690"/>
      <c r="S116" s="690"/>
      <c r="T116" s="690"/>
      <c r="U116" s="690"/>
      <c r="V116" s="690"/>
      <c r="W116" s="690"/>
      <c r="X116" s="690"/>
      <c r="Y116" s="690"/>
      <c r="Z116" s="690"/>
      <c r="AA116" s="690"/>
      <c r="AB116" s="690"/>
      <c r="AC116" s="690"/>
      <c r="AD116" s="690"/>
      <c r="AE116" s="690"/>
    </row>
    <row r="117" spans="1:31" ht="15.75" customHeight="1">
      <c r="A117" s="715"/>
      <c r="B117" s="715"/>
      <c r="C117" s="715"/>
      <c r="D117" s="715"/>
      <c r="E117" s="715"/>
      <c r="F117" s="715"/>
      <c r="G117" s="715"/>
      <c r="H117" s="715"/>
      <c r="I117" s="690"/>
      <c r="J117" s="690"/>
      <c r="K117" s="690"/>
      <c r="L117" s="690"/>
      <c r="M117" s="690"/>
      <c r="N117" s="690"/>
      <c r="O117" s="690"/>
      <c r="P117" s="690"/>
      <c r="Q117" s="690"/>
      <c r="R117" s="690"/>
      <c r="S117" s="690"/>
      <c r="T117" s="690"/>
      <c r="U117" s="690"/>
      <c r="V117" s="690"/>
      <c r="W117" s="690"/>
      <c r="X117" s="690"/>
      <c r="Y117" s="690"/>
      <c r="Z117" s="690"/>
      <c r="AA117" s="690"/>
      <c r="AB117" s="690"/>
      <c r="AC117" s="690"/>
      <c r="AD117" s="690"/>
      <c r="AE117" s="690"/>
    </row>
    <row r="118" spans="1:31" ht="15.75" customHeight="1">
      <c r="A118" s="715"/>
      <c r="B118" s="715"/>
      <c r="C118" s="715"/>
      <c r="D118" s="715"/>
      <c r="E118" s="715"/>
      <c r="F118" s="715"/>
      <c r="G118" s="715"/>
      <c r="H118" s="715"/>
      <c r="I118" s="690"/>
      <c r="J118" s="690"/>
      <c r="K118" s="690"/>
      <c r="L118" s="690"/>
      <c r="M118" s="690"/>
      <c r="N118" s="690"/>
      <c r="O118" s="690"/>
      <c r="P118" s="690"/>
      <c r="Q118" s="690"/>
      <c r="R118" s="690"/>
      <c r="S118" s="690"/>
      <c r="T118" s="690"/>
      <c r="U118" s="690"/>
      <c r="V118" s="690"/>
      <c r="W118" s="690"/>
      <c r="X118" s="690"/>
      <c r="Y118" s="690"/>
      <c r="Z118" s="690"/>
      <c r="AA118" s="690"/>
      <c r="AB118" s="690"/>
      <c r="AC118" s="690"/>
      <c r="AD118" s="690"/>
      <c r="AE118" s="690"/>
    </row>
    <row r="119" spans="1:31" ht="15.75" customHeight="1">
      <c r="A119" s="715"/>
      <c r="B119" s="715"/>
      <c r="C119" s="715"/>
      <c r="D119" s="715"/>
      <c r="E119" s="715"/>
      <c r="F119" s="715"/>
      <c r="G119" s="715"/>
      <c r="H119" s="715"/>
      <c r="I119" s="690"/>
      <c r="J119" s="690"/>
      <c r="K119" s="690"/>
      <c r="L119" s="690"/>
      <c r="M119" s="690"/>
      <c r="N119" s="690"/>
      <c r="O119" s="690"/>
      <c r="P119" s="690"/>
      <c r="Q119" s="690"/>
      <c r="R119" s="690"/>
      <c r="S119" s="690"/>
      <c r="T119" s="690"/>
      <c r="U119" s="690"/>
      <c r="V119" s="690"/>
      <c r="W119" s="690"/>
      <c r="X119" s="690"/>
      <c r="Y119" s="690"/>
      <c r="Z119" s="690"/>
      <c r="AA119" s="690"/>
      <c r="AB119" s="690"/>
      <c r="AC119" s="690"/>
      <c r="AD119" s="690"/>
      <c r="AE119" s="690"/>
    </row>
    <row r="120" spans="1:31" ht="15.75" customHeight="1">
      <c r="A120" s="715"/>
      <c r="B120" s="715"/>
      <c r="C120" s="715"/>
      <c r="D120" s="715"/>
      <c r="E120" s="715"/>
      <c r="F120" s="715"/>
      <c r="G120" s="715"/>
      <c r="H120" s="715"/>
      <c r="I120" s="690"/>
      <c r="J120" s="690"/>
      <c r="K120" s="690"/>
      <c r="L120" s="690"/>
      <c r="M120" s="690"/>
      <c r="N120" s="690"/>
      <c r="O120" s="690"/>
      <c r="P120" s="690"/>
      <c r="Q120" s="690"/>
      <c r="R120" s="690"/>
      <c r="S120" s="690"/>
      <c r="T120" s="690"/>
      <c r="U120" s="690"/>
      <c r="V120" s="690"/>
      <c r="W120" s="690"/>
      <c r="X120" s="690"/>
      <c r="Y120" s="690"/>
      <c r="Z120" s="690"/>
      <c r="AA120" s="690"/>
      <c r="AB120" s="690"/>
      <c r="AC120" s="690"/>
      <c r="AD120" s="690"/>
      <c r="AE120" s="690"/>
    </row>
    <row r="121" spans="1:31" ht="15.75" customHeight="1">
      <c r="A121" s="715"/>
      <c r="B121" s="715"/>
      <c r="C121" s="715"/>
      <c r="D121" s="715"/>
      <c r="E121" s="715"/>
      <c r="F121" s="715"/>
      <c r="G121" s="715"/>
      <c r="H121" s="715"/>
      <c r="I121" s="690"/>
      <c r="J121" s="690"/>
      <c r="K121" s="690"/>
      <c r="L121" s="690"/>
      <c r="M121" s="690"/>
      <c r="N121" s="690"/>
      <c r="O121" s="690"/>
      <c r="P121" s="690"/>
      <c r="Q121" s="690"/>
      <c r="R121" s="690"/>
      <c r="S121" s="690"/>
      <c r="T121" s="690"/>
      <c r="U121" s="690"/>
      <c r="V121" s="690"/>
      <c r="W121" s="690"/>
      <c r="X121" s="690"/>
      <c r="Y121" s="690"/>
      <c r="Z121" s="690"/>
      <c r="AA121" s="690"/>
      <c r="AB121" s="690"/>
      <c r="AC121" s="690"/>
      <c r="AD121" s="690"/>
      <c r="AE121" s="690"/>
    </row>
    <row r="122" spans="1:31" ht="15.75" customHeight="1">
      <c r="A122" s="715"/>
      <c r="B122" s="715"/>
      <c r="C122" s="715"/>
      <c r="D122" s="715"/>
      <c r="E122" s="715"/>
      <c r="F122" s="715"/>
      <c r="G122" s="715"/>
      <c r="H122" s="715"/>
      <c r="I122" s="690"/>
      <c r="J122" s="690"/>
      <c r="K122" s="690"/>
      <c r="L122" s="690"/>
      <c r="M122" s="690"/>
      <c r="N122" s="690"/>
      <c r="O122" s="690"/>
      <c r="P122" s="690"/>
      <c r="Q122" s="690"/>
      <c r="R122" s="690"/>
      <c r="S122" s="690"/>
      <c r="T122" s="690"/>
      <c r="U122" s="690"/>
      <c r="V122" s="690"/>
      <c r="W122" s="690"/>
      <c r="X122" s="690"/>
      <c r="Y122" s="690"/>
      <c r="Z122" s="690"/>
      <c r="AA122" s="690"/>
      <c r="AB122" s="690"/>
      <c r="AC122" s="690"/>
      <c r="AD122" s="690"/>
      <c r="AE122" s="690"/>
    </row>
    <row r="123" spans="1:31" ht="15.75" customHeight="1">
      <c r="A123" s="715"/>
      <c r="B123" s="715"/>
      <c r="C123" s="715"/>
      <c r="D123" s="715"/>
      <c r="E123" s="715"/>
      <c r="F123" s="715"/>
      <c r="G123" s="715"/>
      <c r="H123" s="715"/>
      <c r="I123" s="690"/>
      <c r="J123" s="690"/>
      <c r="K123" s="690"/>
      <c r="L123" s="690"/>
      <c r="M123" s="690"/>
      <c r="N123" s="690"/>
      <c r="O123" s="690"/>
      <c r="P123" s="690"/>
      <c r="Q123" s="690"/>
      <c r="R123" s="690"/>
      <c r="S123" s="690"/>
      <c r="T123" s="690"/>
      <c r="U123" s="690"/>
      <c r="V123" s="690"/>
      <c r="W123" s="690"/>
      <c r="X123" s="690"/>
      <c r="Y123" s="690"/>
      <c r="Z123" s="690"/>
      <c r="AA123" s="690"/>
      <c r="AB123" s="690"/>
      <c r="AC123" s="690"/>
      <c r="AD123" s="690"/>
      <c r="AE123" s="690"/>
    </row>
    <row r="124" spans="1:31" ht="15.75" customHeight="1">
      <c r="A124" s="715"/>
      <c r="B124" s="715"/>
      <c r="C124" s="715"/>
      <c r="D124" s="715"/>
      <c r="E124" s="715"/>
      <c r="F124" s="715"/>
      <c r="G124" s="715"/>
      <c r="H124" s="715"/>
      <c r="I124" s="690"/>
      <c r="J124" s="690"/>
      <c r="K124" s="690"/>
      <c r="L124" s="690"/>
      <c r="M124" s="690"/>
      <c r="N124" s="690"/>
      <c r="O124" s="690"/>
      <c r="P124" s="690"/>
      <c r="Q124" s="690"/>
      <c r="R124" s="690"/>
      <c r="S124" s="690"/>
      <c r="T124" s="690"/>
      <c r="U124" s="690"/>
      <c r="V124" s="690"/>
      <c r="W124" s="690"/>
      <c r="X124" s="690"/>
      <c r="Y124" s="690"/>
      <c r="Z124" s="690"/>
      <c r="AA124" s="690"/>
      <c r="AB124" s="690"/>
      <c r="AC124" s="690"/>
      <c r="AD124" s="690"/>
      <c r="AE124" s="690"/>
    </row>
    <row r="125" spans="1:31" ht="15.75" customHeight="1">
      <c r="A125" s="715"/>
      <c r="B125" s="715"/>
      <c r="C125" s="715"/>
      <c r="D125" s="715"/>
      <c r="E125" s="715"/>
      <c r="F125" s="715"/>
      <c r="G125" s="715"/>
      <c r="H125" s="715"/>
      <c r="I125" s="690"/>
      <c r="J125" s="690"/>
      <c r="K125" s="690"/>
      <c r="L125" s="690"/>
      <c r="M125" s="690"/>
      <c r="N125" s="690"/>
      <c r="O125" s="690"/>
      <c r="P125" s="690"/>
      <c r="Q125" s="690"/>
      <c r="R125" s="690"/>
      <c r="S125" s="690"/>
      <c r="T125" s="690"/>
      <c r="U125" s="690"/>
      <c r="V125" s="690"/>
      <c r="W125" s="690"/>
      <c r="X125" s="690"/>
      <c r="Y125" s="690"/>
      <c r="Z125" s="690"/>
      <c r="AA125" s="690"/>
      <c r="AB125" s="690"/>
      <c r="AC125" s="690"/>
      <c r="AD125" s="690"/>
      <c r="AE125" s="690"/>
    </row>
    <row r="126" spans="1:31" ht="15.75" customHeight="1">
      <c r="A126" s="715"/>
      <c r="B126" s="715"/>
      <c r="C126" s="715"/>
      <c r="D126" s="715"/>
      <c r="E126" s="715"/>
      <c r="F126" s="715"/>
      <c r="G126" s="715"/>
      <c r="H126" s="715"/>
      <c r="I126" s="690"/>
      <c r="J126" s="690"/>
      <c r="K126" s="690"/>
      <c r="L126" s="690"/>
      <c r="M126" s="690"/>
      <c r="N126" s="690"/>
      <c r="O126" s="690"/>
      <c r="P126" s="690"/>
      <c r="Q126" s="690"/>
      <c r="R126" s="690"/>
      <c r="S126" s="690"/>
      <c r="T126" s="690"/>
      <c r="U126" s="690"/>
      <c r="V126" s="690"/>
      <c r="W126" s="690"/>
      <c r="X126" s="690"/>
      <c r="Y126" s="690"/>
      <c r="Z126" s="690"/>
      <c r="AA126" s="690"/>
      <c r="AB126" s="690"/>
      <c r="AC126" s="690"/>
      <c r="AD126" s="690"/>
      <c r="AE126" s="690"/>
    </row>
    <row r="127" spans="1:31" ht="15.75" customHeight="1">
      <c r="A127" s="715"/>
      <c r="B127" s="715"/>
      <c r="C127" s="715"/>
      <c r="D127" s="715"/>
      <c r="E127" s="715"/>
      <c r="F127" s="715"/>
      <c r="G127" s="715"/>
      <c r="H127" s="715"/>
      <c r="I127" s="690"/>
      <c r="J127" s="690"/>
      <c r="K127" s="690"/>
      <c r="L127" s="690"/>
      <c r="M127" s="690"/>
      <c r="N127" s="690"/>
      <c r="O127" s="690"/>
      <c r="P127" s="690"/>
      <c r="Q127" s="690"/>
      <c r="R127" s="690"/>
      <c r="S127" s="690"/>
      <c r="T127" s="690"/>
      <c r="U127" s="690"/>
      <c r="V127" s="690"/>
      <c r="W127" s="690"/>
      <c r="X127" s="690"/>
      <c r="Y127" s="690"/>
      <c r="Z127" s="690"/>
      <c r="AA127" s="690"/>
      <c r="AB127" s="690"/>
      <c r="AC127" s="690"/>
      <c r="AD127" s="690"/>
      <c r="AE127" s="690"/>
    </row>
    <row r="128" spans="1:31" ht="15.75" customHeight="1">
      <c r="A128" s="715"/>
      <c r="B128" s="715"/>
      <c r="C128" s="715"/>
      <c r="D128" s="715"/>
      <c r="E128" s="715"/>
      <c r="F128" s="715"/>
      <c r="G128" s="715"/>
      <c r="H128" s="715"/>
      <c r="I128" s="690"/>
      <c r="J128" s="690"/>
      <c r="K128" s="690"/>
      <c r="L128" s="690"/>
      <c r="M128" s="690"/>
      <c r="N128" s="690"/>
      <c r="O128" s="690"/>
      <c r="P128" s="690"/>
      <c r="Q128" s="690"/>
      <c r="R128" s="690"/>
      <c r="S128" s="690"/>
      <c r="T128" s="690"/>
      <c r="U128" s="690"/>
      <c r="V128" s="690"/>
      <c r="W128" s="690"/>
      <c r="X128" s="690"/>
      <c r="Y128" s="690"/>
      <c r="Z128" s="690"/>
      <c r="AA128" s="690"/>
      <c r="AB128" s="690"/>
      <c r="AC128" s="690"/>
      <c r="AD128" s="690"/>
      <c r="AE128" s="690"/>
    </row>
    <row r="129" spans="1:31" ht="15.75" customHeight="1">
      <c r="A129" s="715"/>
      <c r="B129" s="715"/>
      <c r="C129" s="715"/>
      <c r="D129" s="715"/>
      <c r="E129" s="715"/>
      <c r="F129" s="715"/>
      <c r="G129" s="715"/>
      <c r="H129" s="715"/>
      <c r="I129" s="690"/>
      <c r="J129" s="690"/>
      <c r="K129" s="690"/>
      <c r="L129" s="690"/>
      <c r="M129" s="690"/>
      <c r="N129" s="690"/>
      <c r="O129" s="690"/>
      <c r="P129" s="690"/>
      <c r="Q129" s="690"/>
      <c r="R129" s="690"/>
      <c r="S129" s="690"/>
      <c r="T129" s="690"/>
      <c r="U129" s="690"/>
      <c r="V129" s="690"/>
      <c r="W129" s="690"/>
      <c r="X129" s="690"/>
      <c r="Y129" s="690"/>
      <c r="Z129" s="690"/>
      <c r="AA129" s="690"/>
      <c r="AB129" s="690"/>
      <c r="AC129" s="690"/>
      <c r="AD129" s="690"/>
      <c r="AE129" s="690"/>
    </row>
    <row r="130" spans="1:31" ht="15.75" customHeight="1">
      <c r="A130" s="715"/>
      <c r="B130" s="715"/>
      <c r="C130" s="715"/>
      <c r="D130" s="715"/>
      <c r="E130" s="715"/>
      <c r="F130" s="715"/>
      <c r="G130" s="715"/>
      <c r="H130" s="715"/>
      <c r="I130" s="690"/>
      <c r="J130" s="690"/>
      <c r="K130" s="690"/>
      <c r="L130" s="690"/>
      <c r="M130" s="690"/>
      <c r="N130" s="690"/>
      <c r="O130" s="690"/>
      <c r="P130" s="690"/>
      <c r="Q130" s="690"/>
      <c r="R130" s="690"/>
      <c r="S130" s="690"/>
      <c r="T130" s="690"/>
      <c r="U130" s="690"/>
      <c r="V130" s="690"/>
      <c r="W130" s="690"/>
      <c r="X130" s="690"/>
      <c r="Y130" s="690"/>
      <c r="Z130" s="690"/>
      <c r="AA130" s="690"/>
      <c r="AB130" s="690"/>
      <c r="AC130" s="690"/>
      <c r="AD130" s="690"/>
      <c r="AE130" s="690"/>
    </row>
    <row r="131" spans="1:31" ht="15.75" customHeight="1">
      <c r="A131" s="715"/>
      <c r="B131" s="715"/>
      <c r="C131" s="715"/>
      <c r="D131" s="715"/>
      <c r="E131" s="715"/>
      <c r="F131" s="715"/>
      <c r="G131" s="715"/>
      <c r="H131" s="715"/>
      <c r="I131" s="690"/>
      <c r="J131" s="690"/>
      <c r="K131" s="690"/>
      <c r="L131" s="690"/>
      <c r="M131" s="690"/>
      <c r="N131" s="690"/>
      <c r="O131" s="690"/>
      <c r="P131" s="690"/>
      <c r="Q131" s="690"/>
      <c r="R131" s="690"/>
      <c r="S131" s="690"/>
      <c r="T131" s="690"/>
      <c r="U131" s="690"/>
      <c r="V131" s="690"/>
      <c r="W131" s="690"/>
      <c r="X131" s="690"/>
      <c r="Y131" s="690"/>
      <c r="Z131" s="690"/>
      <c r="AA131" s="690"/>
      <c r="AB131" s="690"/>
      <c r="AC131" s="690"/>
      <c r="AD131" s="690"/>
      <c r="AE131" s="690"/>
    </row>
    <row r="132" spans="1:31" ht="15.75" customHeight="1">
      <c r="A132" s="715"/>
      <c r="B132" s="715"/>
      <c r="C132" s="715"/>
      <c r="D132" s="715"/>
      <c r="E132" s="715"/>
      <c r="F132" s="715"/>
      <c r="G132" s="715"/>
      <c r="H132" s="715"/>
      <c r="I132" s="690"/>
      <c r="J132" s="690"/>
      <c r="K132" s="690"/>
      <c r="L132" s="690"/>
      <c r="M132" s="690"/>
      <c r="N132" s="690"/>
      <c r="O132" s="690"/>
      <c r="P132" s="690"/>
      <c r="Q132" s="690"/>
      <c r="R132" s="690"/>
      <c r="S132" s="690"/>
      <c r="T132" s="690"/>
      <c r="U132" s="690"/>
      <c r="V132" s="690"/>
      <c r="W132" s="690"/>
      <c r="X132" s="690"/>
      <c r="Y132" s="690"/>
      <c r="Z132" s="690"/>
      <c r="AA132" s="690"/>
      <c r="AB132" s="690"/>
      <c r="AC132" s="690"/>
      <c r="AD132" s="690"/>
      <c r="AE132" s="690"/>
    </row>
    <row r="133" spans="1:31" ht="15.75" customHeight="1">
      <c r="A133" s="715"/>
      <c r="B133" s="715"/>
      <c r="C133" s="715"/>
      <c r="D133" s="715"/>
      <c r="E133" s="715"/>
      <c r="F133" s="715"/>
      <c r="G133" s="715"/>
      <c r="H133" s="715"/>
      <c r="I133" s="690"/>
      <c r="J133" s="690"/>
      <c r="K133" s="690"/>
      <c r="L133" s="690"/>
      <c r="M133" s="690"/>
      <c r="N133" s="690"/>
      <c r="O133" s="690"/>
      <c r="P133" s="690"/>
      <c r="Q133" s="690"/>
      <c r="R133" s="690"/>
      <c r="S133" s="690"/>
      <c r="T133" s="690"/>
      <c r="U133" s="690"/>
      <c r="V133" s="690"/>
      <c r="W133" s="690"/>
      <c r="X133" s="690"/>
      <c r="Y133" s="690"/>
      <c r="Z133" s="690"/>
      <c r="AA133" s="690"/>
      <c r="AB133" s="690"/>
      <c r="AC133" s="690"/>
      <c r="AD133" s="690"/>
      <c r="AE133" s="690"/>
    </row>
    <row r="134" spans="1:31" ht="15.75" customHeight="1">
      <c r="A134" s="715"/>
      <c r="B134" s="715"/>
      <c r="C134" s="715"/>
      <c r="D134" s="715"/>
      <c r="E134" s="715"/>
      <c r="F134" s="715"/>
      <c r="G134" s="715"/>
      <c r="H134" s="715"/>
      <c r="I134" s="690"/>
      <c r="J134" s="690"/>
      <c r="K134" s="690"/>
      <c r="L134" s="690"/>
      <c r="M134" s="690"/>
      <c r="N134" s="690"/>
      <c r="O134" s="690"/>
      <c r="P134" s="690"/>
      <c r="Q134" s="690"/>
      <c r="R134" s="690"/>
      <c r="S134" s="690"/>
      <c r="T134" s="690"/>
      <c r="U134" s="690"/>
      <c r="V134" s="690"/>
      <c r="W134" s="690"/>
      <c r="X134" s="690"/>
      <c r="Y134" s="690"/>
      <c r="Z134" s="690"/>
      <c r="AA134" s="690"/>
      <c r="AB134" s="690"/>
      <c r="AC134" s="690"/>
      <c r="AD134" s="690"/>
      <c r="AE134" s="690"/>
    </row>
    <row r="135" spans="1:31" ht="15.75" customHeight="1">
      <c r="A135" s="715"/>
      <c r="B135" s="715"/>
      <c r="C135" s="715"/>
      <c r="D135" s="715"/>
      <c r="E135" s="715"/>
      <c r="F135" s="715"/>
      <c r="G135" s="715"/>
      <c r="H135" s="715"/>
      <c r="I135" s="690"/>
      <c r="J135" s="690"/>
      <c r="K135" s="690"/>
      <c r="L135" s="690"/>
      <c r="M135" s="690"/>
      <c r="N135" s="690"/>
      <c r="O135" s="690"/>
      <c r="P135" s="690"/>
      <c r="Q135" s="690"/>
      <c r="R135" s="690"/>
      <c r="S135" s="690"/>
      <c r="T135" s="690"/>
      <c r="U135" s="690"/>
      <c r="V135" s="690"/>
      <c r="W135" s="690"/>
      <c r="X135" s="690"/>
      <c r="Y135" s="690"/>
      <c r="Z135" s="690"/>
      <c r="AA135" s="690"/>
      <c r="AB135" s="690"/>
      <c r="AC135" s="690"/>
      <c r="AD135" s="690"/>
      <c r="AE135" s="690"/>
    </row>
    <row r="136" spans="1:31" ht="15.75" customHeight="1">
      <c r="A136" s="715"/>
      <c r="B136" s="715"/>
      <c r="C136" s="715"/>
      <c r="D136" s="715"/>
      <c r="E136" s="715"/>
      <c r="F136" s="715"/>
      <c r="G136" s="715"/>
      <c r="H136" s="715"/>
      <c r="I136" s="690"/>
      <c r="J136" s="690"/>
      <c r="K136" s="690"/>
      <c r="L136" s="690"/>
      <c r="M136" s="690"/>
      <c r="N136" s="690"/>
      <c r="O136" s="690"/>
      <c r="P136" s="690"/>
      <c r="Q136" s="690"/>
      <c r="R136" s="690"/>
      <c r="S136" s="690"/>
      <c r="T136" s="690"/>
      <c r="U136" s="690"/>
      <c r="V136" s="690"/>
      <c r="W136" s="690"/>
      <c r="X136" s="690"/>
      <c r="Y136" s="690"/>
      <c r="Z136" s="690"/>
      <c r="AA136" s="690"/>
      <c r="AB136" s="690"/>
      <c r="AC136" s="690"/>
      <c r="AD136" s="690"/>
      <c r="AE136" s="690"/>
    </row>
    <row r="137" spans="1:31" ht="15.75" customHeight="1">
      <c r="A137" s="715"/>
      <c r="B137" s="715"/>
      <c r="C137" s="715"/>
      <c r="D137" s="715"/>
      <c r="E137" s="715"/>
      <c r="F137" s="715"/>
      <c r="G137" s="715"/>
      <c r="H137" s="715"/>
      <c r="I137" s="690"/>
      <c r="J137" s="690"/>
      <c r="K137" s="690"/>
      <c r="L137" s="690"/>
      <c r="M137" s="690"/>
      <c r="N137" s="690"/>
      <c r="O137" s="690"/>
      <c r="P137" s="690"/>
      <c r="Q137" s="690"/>
      <c r="R137" s="690"/>
      <c r="S137" s="690"/>
      <c r="T137" s="690"/>
      <c r="U137" s="690"/>
      <c r="V137" s="690"/>
      <c r="W137" s="690"/>
      <c r="X137" s="690"/>
      <c r="Y137" s="690"/>
      <c r="Z137" s="690"/>
      <c r="AA137" s="690"/>
      <c r="AB137" s="690"/>
      <c r="AC137" s="690"/>
      <c r="AD137" s="690"/>
      <c r="AE137" s="690"/>
    </row>
    <row r="138" spans="1:31" ht="15.75" customHeight="1">
      <c r="A138" s="715"/>
      <c r="B138" s="715"/>
      <c r="C138" s="715"/>
      <c r="D138" s="715"/>
      <c r="E138" s="715"/>
      <c r="F138" s="715"/>
      <c r="G138" s="715"/>
      <c r="H138" s="715"/>
      <c r="I138" s="690"/>
      <c r="J138" s="690"/>
      <c r="K138" s="690"/>
      <c r="L138" s="690"/>
      <c r="M138" s="690"/>
      <c r="N138" s="690"/>
      <c r="O138" s="690"/>
      <c r="P138" s="690"/>
      <c r="Q138" s="690"/>
      <c r="R138" s="690"/>
      <c r="S138" s="690"/>
      <c r="T138" s="690"/>
      <c r="U138" s="690"/>
      <c r="V138" s="690"/>
      <c r="W138" s="690"/>
      <c r="X138" s="690"/>
      <c r="Y138" s="690"/>
      <c r="Z138" s="690"/>
      <c r="AA138" s="690"/>
      <c r="AB138" s="690"/>
      <c r="AC138" s="690"/>
      <c r="AD138" s="690"/>
      <c r="AE138" s="690"/>
    </row>
    <row r="139" spans="1:31" ht="15.75" customHeight="1">
      <c r="A139" s="715"/>
      <c r="B139" s="715"/>
      <c r="C139" s="715"/>
      <c r="D139" s="715"/>
      <c r="E139" s="715"/>
      <c r="F139" s="715"/>
      <c r="G139" s="715"/>
      <c r="H139" s="715"/>
      <c r="I139" s="690"/>
      <c r="J139" s="690"/>
      <c r="K139" s="690"/>
      <c r="L139" s="690"/>
      <c r="M139" s="690"/>
      <c r="N139" s="690"/>
      <c r="O139" s="690"/>
      <c r="P139" s="690"/>
      <c r="Q139" s="690"/>
      <c r="R139" s="690"/>
      <c r="S139" s="690"/>
      <c r="T139" s="690"/>
      <c r="U139" s="690"/>
      <c r="V139" s="690"/>
      <c r="W139" s="690"/>
      <c r="X139" s="690"/>
      <c r="Y139" s="690"/>
      <c r="Z139" s="690"/>
      <c r="AA139" s="690"/>
      <c r="AB139" s="690"/>
      <c r="AC139" s="690"/>
      <c r="AD139" s="690"/>
      <c r="AE139" s="690"/>
    </row>
    <row r="140" spans="1:31" ht="15.75" customHeight="1">
      <c r="A140" s="715"/>
      <c r="B140" s="715"/>
      <c r="C140" s="715"/>
      <c r="D140" s="715"/>
      <c r="E140" s="715"/>
      <c r="F140" s="715"/>
      <c r="G140" s="715"/>
      <c r="H140" s="715"/>
      <c r="I140" s="690"/>
      <c r="J140" s="690"/>
      <c r="K140" s="690"/>
      <c r="L140" s="690"/>
      <c r="M140" s="690"/>
      <c r="N140" s="690"/>
      <c r="O140" s="690"/>
      <c r="P140" s="690"/>
      <c r="Q140" s="690"/>
      <c r="R140" s="690"/>
      <c r="S140" s="690"/>
      <c r="T140" s="690"/>
      <c r="U140" s="690"/>
      <c r="V140" s="690"/>
      <c r="W140" s="690"/>
      <c r="X140" s="690"/>
      <c r="Y140" s="690"/>
      <c r="Z140" s="690"/>
      <c r="AA140" s="690"/>
      <c r="AB140" s="690"/>
      <c r="AC140" s="690"/>
      <c r="AD140" s="690"/>
      <c r="AE140" s="690"/>
    </row>
    <row r="141" spans="1:31" ht="15.75" customHeight="1">
      <c r="A141" s="715"/>
      <c r="B141" s="715"/>
      <c r="C141" s="715"/>
      <c r="D141" s="715"/>
      <c r="E141" s="715"/>
      <c r="F141" s="715"/>
      <c r="G141" s="715"/>
      <c r="H141" s="715"/>
      <c r="I141" s="690"/>
      <c r="J141" s="690"/>
      <c r="K141" s="690"/>
      <c r="L141" s="690"/>
      <c r="M141" s="690"/>
      <c r="N141" s="690"/>
      <c r="O141" s="690"/>
      <c r="P141" s="690"/>
      <c r="Q141" s="690"/>
      <c r="R141" s="690"/>
      <c r="S141" s="690"/>
      <c r="T141" s="690"/>
      <c r="U141" s="690"/>
      <c r="V141" s="690"/>
      <c r="W141" s="690"/>
      <c r="X141" s="690"/>
      <c r="Y141" s="690"/>
      <c r="Z141" s="690"/>
      <c r="AA141" s="690"/>
      <c r="AB141" s="690"/>
      <c r="AC141" s="690"/>
      <c r="AD141" s="690"/>
      <c r="AE141" s="690"/>
    </row>
    <row r="142" spans="1:31" ht="15.75" customHeight="1">
      <c r="A142" s="715"/>
      <c r="B142" s="715"/>
      <c r="C142" s="715"/>
      <c r="D142" s="715"/>
      <c r="E142" s="715"/>
      <c r="F142" s="715"/>
      <c r="G142" s="715"/>
      <c r="H142" s="715"/>
      <c r="I142" s="690"/>
      <c r="J142" s="690"/>
      <c r="K142" s="690"/>
      <c r="L142" s="690"/>
      <c r="M142" s="690"/>
      <c r="N142" s="690"/>
      <c r="O142" s="690"/>
      <c r="P142" s="690"/>
      <c r="Q142" s="690"/>
      <c r="R142" s="690"/>
      <c r="S142" s="690"/>
      <c r="T142" s="690"/>
      <c r="U142" s="690"/>
      <c r="V142" s="690"/>
      <c r="W142" s="690"/>
      <c r="X142" s="690"/>
      <c r="Y142" s="690"/>
      <c r="Z142" s="690"/>
      <c r="AA142" s="690"/>
      <c r="AB142" s="690"/>
      <c r="AC142" s="690"/>
      <c r="AD142" s="690"/>
      <c r="AE142" s="690"/>
    </row>
    <row r="143" spans="1:31" ht="15.75" customHeight="1">
      <c r="A143" s="715"/>
      <c r="B143" s="715"/>
      <c r="C143" s="715"/>
      <c r="D143" s="715"/>
      <c r="E143" s="715"/>
      <c r="F143" s="715"/>
      <c r="G143" s="715"/>
      <c r="H143" s="715"/>
      <c r="I143" s="690"/>
      <c r="J143" s="690"/>
      <c r="K143" s="690"/>
      <c r="L143" s="690"/>
      <c r="M143" s="690"/>
      <c r="N143" s="690"/>
      <c r="O143" s="690"/>
      <c r="P143" s="690"/>
      <c r="Q143" s="690"/>
      <c r="R143" s="690"/>
      <c r="S143" s="690"/>
      <c r="T143" s="690"/>
      <c r="U143" s="690"/>
      <c r="V143" s="690"/>
      <c r="W143" s="690"/>
      <c r="X143" s="690"/>
      <c r="Y143" s="690"/>
      <c r="Z143" s="690"/>
      <c r="AA143" s="690"/>
      <c r="AB143" s="690"/>
      <c r="AC143" s="690"/>
      <c r="AD143" s="690"/>
      <c r="AE143" s="690"/>
    </row>
    <row r="144" spans="1:31" ht="15.75" customHeight="1">
      <c r="A144" s="715"/>
      <c r="B144" s="715"/>
      <c r="C144" s="715"/>
      <c r="D144" s="715"/>
      <c r="E144" s="715"/>
      <c r="F144" s="715"/>
      <c r="G144" s="715"/>
      <c r="H144" s="715"/>
      <c r="I144" s="690"/>
      <c r="J144" s="690"/>
      <c r="K144" s="690"/>
      <c r="L144" s="690"/>
      <c r="M144" s="690"/>
      <c r="N144" s="690"/>
      <c r="O144" s="690"/>
      <c r="P144" s="690"/>
      <c r="Q144" s="690"/>
      <c r="R144" s="690"/>
      <c r="S144" s="690"/>
      <c r="T144" s="690"/>
      <c r="U144" s="690"/>
      <c r="V144" s="690"/>
      <c r="W144" s="690"/>
      <c r="X144" s="690"/>
      <c r="Y144" s="690"/>
      <c r="Z144" s="690"/>
      <c r="AA144" s="690"/>
      <c r="AB144" s="690"/>
      <c r="AC144" s="690"/>
      <c r="AD144" s="690"/>
      <c r="AE144" s="690"/>
    </row>
    <row r="145" spans="1:31" ht="15.75" customHeight="1">
      <c r="A145" s="715"/>
      <c r="B145" s="715"/>
      <c r="C145" s="715"/>
      <c r="D145" s="715"/>
      <c r="E145" s="715"/>
      <c r="F145" s="715"/>
      <c r="G145" s="715"/>
      <c r="H145" s="715"/>
      <c r="I145" s="690"/>
      <c r="J145" s="690"/>
      <c r="K145" s="690"/>
      <c r="L145" s="690"/>
      <c r="M145" s="690"/>
      <c r="N145" s="690"/>
      <c r="O145" s="690"/>
      <c r="P145" s="690"/>
      <c r="Q145" s="690"/>
      <c r="R145" s="690"/>
      <c r="S145" s="690"/>
      <c r="T145" s="690"/>
      <c r="U145" s="690"/>
      <c r="V145" s="690"/>
      <c r="W145" s="690"/>
      <c r="X145" s="690"/>
      <c r="Y145" s="690"/>
      <c r="Z145" s="690"/>
      <c r="AA145" s="690"/>
      <c r="AB145" s="690"/>
      <c r="AC145" s="690"/>
      <c r="AD145" s="690"/>
      <c r="AE145" s="690"/>
    </row>
    <row r="146" spans="1:31" ht="15.75" customHeight="1">
      <c r="A146" s="715"/>
      <c r="B146" s="715"/>
      <c r="C146" s="715"/>
      <c r="D146" s="715"/>
      <c r="E146" s="715"/>
      <c r="F146" s="715"/>
      <c r="G146" s="715"/>
      <c r="H146" s="715"/>
      <c r="I146" s="690"/>
      <c r="J146" s="690"/>
      <c r="K146" s="690"/>
      <c r="L146" s="690"/>
      <c r="M146" s="690"/>
      <c r="N146" s="690"/>
      <c r="O146" s="690"/>
      <c r="P146" s="690"/>
      <c r="Q146" s="690"/>
      <c r="R146" s="690"/>
      <c r="S146" s="690"/>
      <c r="T146" s="690"/>
      <c r="U146" s="690"/>
      <c r="V146" s="690"/>
      <c r="W146" s="690"/>
      <c r="X146" s="690"/>
      <c r="Y146" s="690"/>
      <c r="Z146" s="690"/>
      <c r="AA146" s="690"/>
      <c r="AB146" s="690"/>
      <c r="AC146" s="690"/>
      <c r="AD146" s="690"/>
      <c r="AE146" s="690"/>
    </row>
    <row r="147" spans="1:31" ht="15.75" customHeight="1">
      <c r="A147" s="715"/>
      <c r="B147" s="715"/>
      <c r="C147" s="715"/>
      <c r="D147" s="715"/>
      <c r="E147" s="715"/>
      <c r="F147" s="715"/>
      <c r="G147" s="715"/>
      <c r="H147" s="715"/>
      <c r="I147" s="690"/>
      <c r="J147" s="690"/>
      <c r="K147" s="690"/>
      <c r="L147" s="690"/>
      <c r="M147" s="690"/>
      <c r="N147" s="690"/>
      <c r="O147" s="690"/>
      <c r="P147" s="690"/>
      <c r="Q147" s="690"/>
      <c r="R147" s="690"/>
      <c r="S147" s="690"/>
      <c r="T147" s="690"/>
      <c r="U147" s="690"/>
      <c r="V147" s="690"/>
      <c r="W147" s="690"/>
      <c r="X147" s="690"/>
      <c r="Y147" s="690"/>
      <c r="Z147" s="690"/>
      <c r="AA147" s="690"/>
      <c r="AB147" s="690"/>
      <c r="AC147" s="690"/>
      <c r="AD147" s="690"/>
      <c r="AE147" s="690"/>
    </row>
    <row r="148" spans="1:31" ht="15.75" customHeight="1">
      <c r="A148" s="715"/>
      <c r="B148" s="715"/>
      <c r="C148" s="715"/>
      <c r="D148" s="715"/>
      <c r="E148" s="715"/>
      <c r="F148" s="715"/>
      <c r="G148" s="715"/>
      <c r="H148" s="715"/>
      <c r="I148" s="690"/>
      <c r="J148" s="690"/>
      <c r="K148" s="690"/>
      <c r="L148" s="690"/>
      <c r="M148" s="690"/>
      <c r="N148" s="690"/>
      <c r="O148" s="690"/>
      <c r="P148" s="690"/>
      <c r="Q148" s="690"/>
      <c r="R148" s="690"/>
      <c r="S148" s="690"/>
      <c r="T148" s="690"/>
      <c r="U148" s="690"/>
      <c r="V148" s="690"/>
      <c r="W148" s="690"/>
      <c r="X148" s="690"/>
      <c r="Y148" s="690"/>
      <c r="Z148" s="690"/>
      <c r="AA148" s="690"/>
      <c r="AB148" s="690"/>
      <c r="AC148" s="690"/>
      <c r="AD148" s="690"/>
      <c r="AE148" s="690"/>
    </row>
    <row r="149" spans="1:31" ht="15.75" customHeight="1">
      <c r="A149" s="715"/>
      <c r="B149" s="715"/>
      <c r="C149" s="715"/>
      <c r="D149" s="715"/>
      <c r="E149" s="715"/>
      <c r="F149" s="715"/>
      <c r="G149" s="715"/>
      <c r="H149" s="715"/>
      <c r="I149" s="690"/>
      <c r="J149" s="690"/>
      <c r="K149" s="690"/>
      <c r="L149" s="690"/>
      <c r="M149" s="690"/>
      <c r="N149" s="690"/>
      <c r="O149" s="690"/>
      <c r="P149" s="690"/>
      <c r="Q149" s="690"/>
      <c r="R149" s="690"/>
      <c r="S149" s="690"/>
      <c r="T149" s="690"/>
      <c r="U149" s="690"/>
      <c r="V149" s="690"/>
      <c r="W149" s="690"/>
      <c r="X149" s="690"/>
      <c r="Y149" s="690"/>
      <c r="Z149" s="690"/>
      <c r="AA149" s="690"/>
      <c r="AB149" s="690"/>
      <c r="AC149" s="690"/>
      <c r="AD149" s="690"/>
      <c r="AE149" s="690"/>
    </row>
    <row r="150" spans="1:31" ht="15.75" customHeight="1">
      <c r="A150" s="715"/>
      <c r="B150" s="715"/>
      <c r="C150" s="715"/>
      <c r="D150" s="715"/>
      <c r="E150" s="715"/>
      <c r="F150" s="715"/>
      <c r="G150" s="715"/>
      <c r="H150" s="715"/>
      <c r="I150" s="690"/>
      <c r="J150" s="690"/>
      <c r="K150" s="690"/>
      <c r="L150" s="690"/>
      <c r="M150" s="690"/>
      <c r="N150" s="690"/>
      <c r="O150" s="690"/>
      <c r="P150" s="690"/>
      <c r="Q150" s="690"/>
      <c r="R150" s="690"/>
      <c r="S150" s="690"/>
      <c r="T150" s="690"/>
      <c r="U150" s="690"/>
      <c r="V150" s="690"/>
      <c r="W150" s="690"/>
      <c r="X150" s="690"/>
      <c r="Y150" s="690"/>
      <c r="Z150" s="690"/>
      <c r="AA150" s="690"/>
      <c r="AB150" s="690"/>
      <c r="AC150" s="690"/>
      <c r="AD150" s="690"/>
      <c r="AE150" s="690"/>
    </row>
    <row r="151" spans="1:31" ht="15.75" customHeight="1">
      <c r="A151" s="715"/>
      <c r="B151" s="715"/>
      <c r="C151" s="715"/>
      <c r="D151" s="715"/>
      <c r="E151" s="715"/>
      <c r="F151" s="715"/>
      <c r="G151" s="715"/>
      <c r="H151" s="715"/>
      <c r="I151" s="690"/>
      <c r="J151" s="690"/>
      <c r="K151" s="690"/>
      <c r="L151" s="690"/>
      <c r="M151" s="690"/>
      <c r="N151" s="690"/>
      <c r="O151" s="690"/>
      <c r="P151" s="690"/>
      <c r="Q151" s="690"/>
      <c r="R151" s="690"/>
      <c r="S151" s="690"/>
      <c r="T151" s="690"/>
      <c r="U151" s="690"/>
      <c r="V151" s="690"/>
      <c r="W151" s="690"/>
      <c r="X151" s="690"/>
      <c r="Y151" s="690"/>
      <c r="Z151" s="690"/>
      <c r="AA151" s="690"/>
      <c r="AB151" s="690"/>
      <c r="AC151" s="690"/>
      <c r="AD151" s="690"/>
      <c r="AE151" s="690"/>
    </row>
    <row r="152" spans="1:31" ht="15.75" customHeight="1">
      <c r="A152" s="715"/>
      <c r="B152" s="715"/>
      <c r="C152" s="715"/>
      <c r="D152" s="715"/>
      <c r="E152" s="715"/>
      <c r="F152" s="715"/>
      <c r="G152" s="715"/>
      <c r="H152" s="715"/>
      <c r="I152" s="690"/>
      <c r="J152" s="690"/>
      <c r="K152" s="690"/>
      <c r="L152" s="690"/>
      <c r="M152" s="690"/>
      <c r="N152" s="690"/>
      <c r="O152" s="690"/>
      <c r="P152" s="690"/>
      <c r="Q152" s="690"/>
      <c r="R152" s="690"/>
      <c r="S152" s="690"/>
      <c r="T152" s="690"/>
      <c r="U152" s="690"/>
      <c r="V152" s="690"/>
      <c r="W152" s="690"/>
      <c r="X152" s="690"/>
      <c r="Y152" s="690"/>
      <c r="Z152" s="690"/>
      <c r="AA152" s="690"/>
      <c r="AB152" s="690"/>
      <c r="AC152" s="690"/>
      <c r="AD152" s="690"/>
      <c r="AE152" s="690"/>
    </row>
    <row r="153" spans="1:31" ht="15.75" customHeight="1">
      <c r="A153" s="715"/>
      <c r="B153" s="715"/>
      <c r="C153" s="715"/>
      <c r="D153" s="715"/>
      <c r="E153" s="715"/>
      <c r="F153" s="715"/>
      <c r="G153" s="715"/>
      <c r="H153" s="715"/>
      <c r="I153" s="690"/>
      <c r="J153" s="690"/>
      <c r="K153" s="690"/>
      <c r="L153" s="690"/>
      <c r="M153" s="690"/>
      <c r="N153" s="690"/>
      <c r="O153" s="690"/>
      <c r="P153" s="690"/>
      <c r="Q153" s="690"/>
      <c r="R153" s="690"/>
      <c r="S153" s="690"/>
      <c r="T153" s="690"/>
      <c r="U153" s="690"/>
      <c r="V153" s="690"/>
      <c r="W153" s="690"/>
      <c r="X153" s="690"/>
      <c r="Y153" s="690"/>
      <c r="Z153" s="690"/>
      <c r="AA153" s="690"/>
      <c r="AB153" s="690"/>
      <c r="AC153" s="690"/>
      <c r="AD153" s="690"/>
      <c r="AE153" s="690"/>
    </row>
    <row r="154" spans="1:31" ht="15.75" customHeight="1">
      <c r="A154" s="715"/>
      <c r="B154" s="715"/>
      <c r="C154" s="715"/>
      <c r="D154" s="715"/>
      <c r="E154" s="715"/>
      <c r="F154" s="715"/>
      <c r="G154" s="715"/>
      <c r="H154" s="715"/>
      <c r="I154" s="690"/>
      <c r="J154" s="690"/>
      <c r="K154" s="690"/>
      <c r="L154" s="690"/>
      <c r="M154" s="690"/>
      <c r="N154" s="690"/>
      <c r="O154" s="690"/>
      <c r="P154" s="690"/>
      <c r="Q154" s="690"/>
      <c r="R154" s="690"/>
      <c r="S154" s="690"/>
      <c r="T154" s="690"/>
      <c r="U154" s="690"/>
      <c r="V154" s="690"/>
      <c r="W154" s="690"/>
      <c r="X154" s="690"/>
      <c r="Y154" s="690"/>
      <c r="Z154" s="690"/>
      <c r="AA154" s="690"/>
      <c r="AB154" s="690"/>
      <c r="AC154" s="690"/>
      <c r="AD154" s="690"/>
      <c r="AE154" s="690"/>
    </row>
    <row r="155" spans="1:31" ht="15.75" customHeight="1">
      <c r="A155" s="715"/>
      <c r="B155" s="715"/>
      <c r="C155" s="715"/>
      <c r="D155" s="715"/>
      <c r="E155" s="715"/>
      <c r="F155" s="715"/>
      <c r="G155" s="715"/>
      <c r="H155" s="715"/>
      <c r="I155" s="690"/>
      <c r="J155" s="690"/>
      <c r="K155" s="690"/>
      <c r="L155" s="690"/>
      <c r="M155" s="690"/>
      <c r="N155" s="690"/>
      <c r="O155" s="690"/>
      <c r="P155" s="690"/>
      <c r="Q155" s="690"/>
      <c r="R155" s="690"/>
      <c r="S155" s="690"/>
      <c r="T155" s="690"/>
      <c r="U155" s="690"/>
      <c r="V155" s="690"/>
      <c r="W155" s="690"/>
      <c r="X155" s="690"/>
      <c r="Y155" s="690"/>
      <c r="Z155" s="690"/>
      <c r="AA155" s="690"/>
      <c r="AB155" s="690"/>
      <c r="AC155" s="690"/>
      <c r="AD155" s="690"/>
      <c r="AE155" s="690"/>
    </row>
    <row r="156" spans="1:31" ht="15.75" customHeight="1">
      <c r="A156" s="715"/>
      <c r="B156" s="715"/>
      <c r="C156" s="715"/>
      <c r="D156" s="715"/>
      <c r="E156" s="715"/>
      <c r="F156" s="715"/>
      <c r="G156" s="715"/>
      <c r="H156" s="715"/>
      <c r="I156" s="690"/>
      <c r="J156" s="690"/>
      <c r="K156" s="690"/>
      <c r="L156" s="690"/>
      <c r="M156" s="690"/>
      <c r="N156" s="690"/>
      <c r="O156" s="690"/>
      <c r="P156" s="690"/>
      <c r="Q156" s="690"/>
      <c r="R156" s="690"/>
      <c r="S156" s="690"/>
      <c r="T156" s="690"/>
      <c r="U156" s="690"/>
      <c r="V156" s="690"/>
      <c r="W156" s="690"/>
      <c r="X156" s="690"/>
      <c r="Y156" s="690"/>
      <c r="Z156" s="690"/>
      <c r="AA156" s="690"/>
      <c r="AB156" s="690"/>
      <c r="AC156" s="690"/>
      <c r="AD156" s="690"/>
      <c r="AE156" s="690"/>
    </row>
    <row r="157" spans="1:31" ht="15.75" customHeight="1">
      <c r="A157" s="715"/>
      <c r="B157" s="715"/>
      <c r="C157" s="715"/>
      <c r="D157" s="715"/>
      <c r="E157" s="715"/>
      <c r="F157" s="715"/>
      <c r="G157" s="715"/>
      <c r="H157" s="715"/>
      <c r="I157" s="690"/>
      <c r="J157" s="690"/>
      <c r="K157" s="690"/>
      <c r="L157" s="690"/>
      <c r="M157" s="690"/>
      <c r="N157" s="690"/>
      <c r="O157" s="690"/>
      <c r="P157" s="690"/>
      <c r="Q157" s="690"/>
      <c r="R157" s="690"/>
      <c r="S157" s="690"/>
      <c r="T157" s="690"/>
      <c r="U157" s="690"/>
      <c r="V157" s="690"/>
      <c r="W157" s="690"/>
      <c r="X157" s="690"/>
      <c r="Y157" s="690"/>
      <c r="Z157" s="690"/>
      <c r="AA157" s="690"/>
      <c r="AB157" s="690"/>
      <c r="AC157" s="690"/>
      <c r="AD157" s="690"/>
      <c r="AE157" s="690"/>
    </row>
    <row r="158" spans="1:31" ht="15.75" customHeight="1">
      <c r="A158" s="715"/>
      <c r="B158" s="715"/>
      <c r="C158" s="715"/>
      <c r="D158" s="715"/>
      <c r="E158" s="715"/>
      <c r="F158" s="715"/>
      <c r="G158" s="715"/>
      <c r="H158" s="715"/>
      <c r="I158" s="690"/>
      <c r="J158" s="690"/>
      <c r="K158" s="690"/>
      <c r="L158" s="690"/>
      <c r="M158" s="690"/>
      <c r="N158" s="690"/>
      <c r="O158" s="690"/>
      <c r="P158" s="690"/>
      <c r="Q158" s="690"/>
      <c r="R158" s="690"/>
      <c r="S158" s="690"/>
      <c r="T158" s="690"/>
      <c r="U158" s="690"/>
      <c r="V158" s="690"/>
      <c r="W158" s="690"/>
      <c r="X158" s="690"/>
      <c r="Y158" s="690"/>
      <c r="Z158" s="690"/>
      <c r="AA158" s="690"/>
      <c r="AB158" s="690"/>
      <c r="AC158" s="690"/>
      <c r="AD158" s="690"/>
      <c r="AE158" s="690"/>
    </row>
    <row r="159" spans="1:31" ht="15.75" customHeight="1">
      <c r="A159" s="715"/>
      <c r="B159" s="715"/>
      <c r="C159" s="715"/>
      <c r="D159" s="715"/>
      <c r="E159" s="715"/>
      <c r="F159" s="715"/>
      <c r="G159" s="715"/>
      <c r="H159" s="715"/>
      <c r="I159" s="690"/>
      <c r="J159" s="690"/>
      <c r="K159" s="690"/>
      <c r="L159" s="690"/>
      <c r="M159" s="690"/>
      <c r="N159" s="690"/>
      <c r="O159" s="690"/>
      <c r="P159" s="690"/>
      <c r="Q159" s="690"/>
      <c r="R159" s="690"/>
      <c r="S159" s="690"/>
      <c r="T159" s="690"/>
      <c r="U159" s="690"/>
      <c r="V159" s="690"/>
      <c r="W159" s="690"/>
      <c r="X159" s="690"/>
      <c r="Y159" s="690"/>
      <c r="Z159" s="690"/>
      <c r="AA159" s="690"/>
      <c r="AB159" s="690"/>
      <c r="AC159" s="690"/>
      <c r="AD159" s="690"/>
      <c r="AE159" s="690"/>
    </row>
    <row r="160" spans="1:31" ht="15.75" customHeight="1">
      <c r="A160" s="715"/>
      <c r="B160" s="715"/>
      <c r="C160" s="715"/>
      <c r="D160" s="715"/>
      <c r="E160" s="715"/>
      <c r="F160" s="715"/>
      <c r="G160" s="715"/>
      <c r="H160" s="715"/>
      <c r="I160" s="690"/>
      <c r="J160" s="690"/>
      <c r="K160" s="690"/>
      <c r="L160" s="690"/>
      <c r="M160" s="690"/>
      <c r="N160" s="690"/>
      <c r="O160" s="690"/>
      <c r="P160" s="690"/>
      <c r="Q160" s="690"/>
      <c r="R160" s="690"/>
      <c r="S160" s="690"/>
      <c r="T160" s="690"/>
      <c r="U160" s="690"/>
      <c r="V160" s="690"/>
      <c r="W160" s="690"/>
      <c r="X160" s="690"/>
      <c r="Y160" s="690"/>
      <c r="Z160" s="690"/>
      <c r="AA160" s="690"/>
      <c r="AB160" s="690"/>
      <c r="AC160" s="690"/>
      <c r="AD160" s="690"/>
      <c r="AE160" s="690"/>
    </row>
    <row r="161" spans="1:31" ht="15.75" customHeight="1">
      <c r="A161" s="715"/>
      <c r="B161" s="715"/>
      <c r="C161" s="715"/>
      <c r="D161" s="715"/>
      <c r="E161" s="715"/>
      <c r="F161" s="715"/>
      <c r="G161" s="715"/>
      <c r="H161" s="715"/>
      <c r="I161" s="690"/>
      <c r="J161" s="690"/>
      <c r="K161" s="690"/>
      <c r="L161" s="690"/>
      <c r="M161" s="690"/>
      <c r="N161" s="690"/>
      <c r="O161" s="690"/>
      <c r="P161" s="690"/>
      <c r="Q161" s="690"/>
      <c r="R161" s="690"/>
      <c r="S161" s="690"/>
      <c r="T161" s="690"/>
      <c r="U161" s="690"/>
      <c r="V161" s="690"/>
      <c r="W161" s="690"/>
      <c r="X161" s="690"/>
      <c r="Y161" s="690"/>
      <c r="Z161" s="690"/>
      <c r="AA161" s="690"/>
      <c r="AB161" s="690"/>
      <c r="AC161" s="690"/>
      <c r="AD161" s="690"/>
      <c r="AE161" s="690"/>
    </row>
    <row r="162" spans="1:31" ht="15.75" customHeight="1">
      <c r="A162" s="715"/>
      <c r="B162" s="715"/>
      <c r="C162" s="715"/>
      <c r="D162" s="715"/>
      <c r="E162" s="715"/>
      <c r="F162" s="715"/>
      <c r="G162" s="715"/>
      <c r="H162" s="715"/>
      <c r="I162" s="690"/>
      <c r="J162" s="690"/>
      <c r="K162" s="690"/>
      <c r="L162" s="690"/>
      <c r="M162" s="690"/>
      <c r="N162" s="690"/>
      <c r="O162" s="690"/>
      <c r="P162" s="690"/>
      <c r="Q162" s="690"/>
      <c r="R162" s="690"/>
      <c r="S162" s="690"/>
      <c r="T162" s="690"/>
      <c r="U162" s="690"/>
      <c r="V162" s="690"/>
      <c r="W162" s="690"/>
      <c r="X162" s="690"/>
      <c r="Y162" s="690"/>
      <c r="Z162" s="690"/>
      <c r="AA162" s="690"/>
      <c r="AB162" s="690"/>
      <c r="AC162" s="690"/>
      <c r="AD162" s="690"/>
      <c r="AE162" s="690"/>
    </row>
    <row r="163" spans="1:31" ht="15.75" customHeight="1">
      <c r="A163" s="715"/>
      <c r="B163" s="715"/>
      <c r="C163" s="715"/>
      <c r="D163" s="715"/>
      <c r="E163" s="715"/>
      <c r="F163" s="715"/>
      <c r="G163" s="715"/>
      <c r="H163" s="715"/>
      <c r="I163" s="690"/>
      <c r="J163" s="690"/>
      <c r="K163" s="690"/>
      <c r="L163" s="690"/>
      <c r="M163" s="690"/>
      <c r="N163" s="690"/>
      <c r="O163" s="690"/>
      <c r="P163" s="690"/>
      <c r="Q163" s="690"/>
      <c r="R163" s="690"/>
      <c r="S163" s="690"/>
      <c r="T163" s="690"/>
      <c r="U163" s="690"/>
      <c r="V163" s="690"/>
      <c r="W163" s="690"/>
      <c r="X163" s="690"/>
      <c r="Y163" s="690"/>
      <c r="Z163" s="690"/>
      <c r="AA163" s="690"/>
      <c r="AB163" s="690"/>
      <c r="AC163" s="690"/>
      <c r="AD163" s="690"/>
      <c r="AE163" s="690"/>
    </row>
    <row r="164" spans="1:31" ht="15.75" customHeight="1">
      <c r="A164" s="715"/>
      <c r="B164" s="715"/>
      <c r="C164" s="715"/>
      <c r="D164" s="715"/>
      <c r="E164" s="715"/>
      <c r="F164" s="715"/>
      <c r="G164" s="715"/>
      <c r="H164" s="715"/>
      <c r="I164" s="690"/>
      <c r="J164" s="690"/>
      <c r="K164" s="690"/>
      <c r="L164" s="690"/>
      <c r="M164" s="690"/>
      <c r="N164" s="690"/>
      <c r="O164" s="690"/>
      <c r="P164" s="690"/>
      <c r="Q164" s="690"/>
      <c r="R164" s="690"/>
      <c r="S164" s="690"/>
      <c r="T164" s="690"/>
      <c r="U164" s="690"/>
      <c r="V164" s="690"/>
      <c r="W164" s="690"/>
      <c r="X164" s="690"/>
      <c r="Y164" s="690"/>
      <c r="Z164" s="690"/>
      <c r="AA164" s="690"/>
      <c r="AB164" s="690"/>
      <c r="AC164" s="690"/>
      <c r="AD164" s="690"/>
      <c r="AE164" s="690"/>
    </row>
    <row r="165" spans="1:31" ht="15.75" customHeight="1">
      <c r="A165" s="715"/>
      <c r="B165" s="715"/>
      <c r="C165" s="715"/>
      <c r="D165" s="715"/>
      <c r="E165" s="715"/>
      <c r="F165" s="715"/>
      <c r="G165" s="715"/>
      <c r="H165" s="715"/>
      <c r="I165" s="690"/>
      <c r="J165" s="690"/>
      <c r="K165" s="690"/>
      <c r="L165" s="690"/>
      <c r="M165" s="690"/>
      <c r="N165" s="690"/>
      <c r="O165" s="690"/>
      <c r="P165" s="690"/>
      <c r="Q165" s="690"/>
      <c r="R165" s="690"/>
      <c r="S165" s="690"/>
      <c r="T165" s="690"/>
      <c r="U165" s="690"/>
      <c r="V165" s="690"/>
      <c r="W165" s="690"/>
      <c r="X165" s="690"/>
      <c r="Y165" s="690"/>
      <c r="Z165" s="690"/>
      <c r="AA165" s="690"/>
      <c r="AB165" s="690"/>
      <c r="AC165" s="690"/>
      <c r="AD165" s="690"/>
      <c r="AE165" s="690"/>
    </row>
    <row r="166" spans="1:31" ht="15.75" customHeight="1">
      <c r="A166" s="715"/>
      <c r="B166" s="715"/>
      <c r="C166" s="715"/>
      <c r="D166" s="715"/>
      <c r="E166" s="715"/>
      <c r="F166" s="715"/>
      <c r="G166" s="715"/>
      <c r="H166" s="715"/>
      <c r="I166" s="690"/>
      <c r="J166" s="690"/>
      <c r="K166" s="690"/>
      <c r="L166" s="690"/>
      <c r="M166" s="690"/>
      <c r="N166" s="690"/>
      <c r="O166" s="690"/>
      <c r="P166" s="690"/>
      <c r="Q166" s="690"/>
      <c r="R166" s="690"/>
      <c r="S166" s="690"/>
      <c r="T166" s="690"/>
      <c r="U166" s="690"/>
      <c r="V166" s="690"/>
      <c r="W166" s="690"/>
      <c r="X166" s="690"/>
      <c r="Y166" s="690"/>
      <c r="Z166" s="690"/>
      <c r="AA166" s="690"/>
      <c r="AB166" s="690"/>
      <c r="AC166" s="690"/>
      <c r="AD166" s="690"/>
      <c r="AE166" s="690"/>
    </row>
    <row r="167" spans="1:31" ht="15.75" customHeight="1">
      <c r="A167" s="715"/>
      <c r="B167" s="715"/>
      <c r="C167" s="715"/>
      <c r="D167" s="715"/>
      <c r="E167" s="715"/>
      <c r="F167" s="715"/>
      <c r="G167" s="715"/>
      <c r="H167" s="715"/>
      <c r="I167" s="690"/>
      <c r="J167" s="690"/>
      <c r="K167" s="690"/>
      <c r="L167" s="690"/>
      <c r="M167" s="690"/>
      <c r="N167" s="690"/>
      <c r="O167" s="690"/>
      <c r="P167" s="690"/>
      <c r="Q167" s="690"/>
      <c r="R167" s="690"/>
      <c r="S167" s="690"/>
      <c r="T167" s="690"/>
      <c r="U167" s="690"/>
      <c r="V167" s="690"/>
      <c r="W167" s="690"/>
      <c r="X167" s="690"/>
      <c r="Y167" s="690"/>
      <c r="Z167" s="690"/>
      <c r="AA167" s="690"/>
      <c r="AB167" s="690"/>
      <c r="AC167" s="690"/>
      <c r="AD167" s="690"/>
      <c r="AE167" s="690"/>
    </row>
    <row r="168" spans="1:31" ht="15.75" customHeight="1">
      <c r="A168" s="715"/>
      <c r="B168" s="715"/>
      <c r="C168" s="715"/>
      <c r="D168" s="715"/>
      <c r="E168" s="715"/>
      <c r="F168" s="715"/>
      <c r="G168" s="715"/>
      <c r="H168" s="715"/>
      <c r="I168" s="690"/>
      <c r="J168" s="690"/>
      <c r="K168" s="690"/>
      <c r="L168" s="690"/>
      <c r="M168" s="690"/>
      <c r="N168" s="690"/>
      <c r="O168" s="690"/>
      <c r="P168" s="690"/>
      <c r="Q168" s="690"/>
      <c r="R168" s="690"/>
      <c r="S168" s="690"/>
      <c r="T168" s="690"/>
      <c r="U168" s="690"/>
      <c r="V168" s="690"/>
      <c r="W168" s="690"/>
      <c r="X168" s="690"/>
      <c r="Y168" s="690"/>
      <c r="Z168" s="690"/>
      <c r="AA168" s="690"/>
      <c r="AB168" s="690"/>
      <c r="AC168" s="690"/>
      <c r="AD168" s="690"/>
      <c r="AE168" s="690"/>
    </row>
    <row r="169" spans="1:31" ht="15.75" customHeight="1">
      <c r="A169" s="715"/>
      <c r="B169" s="715"/>
      <c r="C169" s="715"/>
      <c r="D169" s="715"/>
      <c r="E169" s="715"/>
      <c r="F169" s="715"/>
      <c r="G169" s="715"/>
      <c r="H169" s="715"/>
      <c r="I169" s="690"/>
      <c r="J169" s="690"/>
      <c r="K169" s="690"/>
      <c r="L169" s="690"/>
      <c r="M169" s="690"/>
      <c r="N169" s="690"/>
      <c r="O169" s="690"/>
      <c r="P169" s="690"/>
      <c r="Q169" s="690"/>
      <c r="R169" s="690"/>
      <c r="S169" s="690"/>
      <c r="T169" s="690"/>
      <c r="U169" s="690"/>
      <c r="V169" s="690"/>
      <c r="W169" s="690"/>
      <c r="X169" s="690"/>
      <c r="Y169" s="690"/>
      <c r="Z169" s="690"/>
      <c r="AA169" s="690"/>
      <c r="AB169" s="690"/>
      <c r="AC169" s="690"/>
      <c r="AD169" s="690"/>
      <c r="AE169" s="690"/>
    </row>
    <row r="170" spans="1:31" ht="15.75" customHeight="1">
      <c r="A170" s="715"/>
      <c r="B170" s="715"/>
      <c r="C170" s="715"/>
      <c r="D170" s="715"/>
      <c r="E170" s="715"/>
      <c r="F170" s="715"/>
      <c r="G170" s="715"/>
      <c r="H170" s="715"/>
      <c r="I170" s="690"/>
      <c r="J170" s="690"/>
      <c r="K170" s="690"/>
      <c r="L170" s="690"/>
      <c r="M170" s="690"/>
      <c r="N170" s="690"/>
      <c r="O170" s="690"/>
      <c r="P170" s="690"/>
      <c r="Q170" s="690"/>
      <c r="R170" s="690"/>
      <c r="S170" s="690"/>
      <c r="T170" s="690"/>
      <c r="U170" s="690"/>
      <c r="V170" s="690"/>
      <c r="W170" s="690"/>
      <c r="X170" s="690"/>
      <c r="Y170" s="690"/>
      <c r="Z170" s="690"/>
      <c r="AA170" s="690"/>
      <c r="AB170" s="690"/>
      <c r="AC170" s="690"/>
      <c r="AD170" s="690"/>
      <c r="AE170" s="690"/>
    </row>
    <row r="171" spans="1:31" ht="15.75" customHeight="1">
      <c r="A171" s="715"/>
      <c r="B171" s="715"/>
      <c r="C171" s="715"/>
      <c r="D171" s="715"/>
      <c r="E171" s="715"/>
      <c r="F171" s="715"/>
      <c r="G171" s="715"/>
      <c r="H171" s="715"/>
      <c r="I171" s="690"/>
      <c r="J171" s="690"/>
      <c r="K171" s="690"/>
      <c r="L171" s="690"/>
      <c r="M171" s="690"/>
      <c r="N171" s="690"/>
      <c r="O171" s="690"/>
      <c r="P171" s="690"/>
      <c r="Q171" s="690"/>
      <c r="R171" s="690"/>
      <c r="S171" s="690"/>
      <c r="T171" s="690"/>
      <c r="U171" s="690"/>
      <c r="V171" s="690"/>
      <c r="W171" s="690"/>
      <c r="X171" s="690"/>
      <c r="Y171" s="690"/>
      <c r="Z171" s="690"/>
      <c r="AA171" s="690"/>
      <c r="AB171" s="690"/>
      <c r="AC171" s="690"/>
      <c r="AD171" s="690"/>
      <c r="AE171" s="690"/>
    </row>
    <row r="172" spans="1:31" ht="15.75" customHeight="1">
      <c r="A172" s="715"/>
      <c r="B172" s="715"/>
      <c r="C172" s="715"/>
      <c r="D172" s="715"/>
      <c r="E172" s="715"/>
      <c r="F172" s="715"/>
      <c r="G172" s="715"/>
      <c r="H172" s="715"/>
      <c r="I172" s="690"/>
      <c r="J172" s="690"/>
      <c r="K172" s="690"/>
      <c r="L172" s="690"/>
      <c r="M172" s="690"/>
      <c r="N172" s="690"/>
      <c r="O172" s="690"/>
      <c r="P172" s="690"/>
      <c r="Q172" s="690"/>
      <c r="R172" s="690"/>
      <c r="S172" s="690"/>
      <c r="T172" s="690"/>
      <c r="U172" s="690"/>
      <c r="V172" s="690"/>
      <c r="W172" s="690"/>
      <c r="X172" s="690"/>
      <c r="Y172" s="690"/>
      <c r="Z172" s="690"/>
      <c r="AA172" s="690"/>
      <c r="AB172" s="690"/>
      <c r="AC172" s="690"/>
      <c r="AD172" s="690"/>
      <c r="AE172" s="690"/>
    </row>
    <row r="173" spans="1:31" ht="15.75" customHeight="1">
      <c r="A173" s="715"/>
      <c r="B173" s="715"/>
      <c r="C173" s="715"/>
      <c r="D173" s="715"/>
      <c r="E173" s="715"/>
      <c r="F173" s="715"/>
      <c r="G173" s="715"/>
      <c r="H173" s="715"/>
      <c r="I173" s="690"/>
      <c r="J173" s="690"/>
      <c r="K173" s="690"/>
      <c r="L173" s="690"/>
      <c r="M173" s="690"/>
      <c r="N173" s="690"/>
      <c r="O173" s="690"/>
      <c r="P173" s="690"/>
      <c r="Q173" s="690"/>
      <c r="R173" s="690"/>
      <c r="S173" s="690"/>
      <c r="T173" s="690"/>
      <c r="U173" s="690"/>
      <c r="V173" s="690"/>
      <c r="W173" s="690"/>
      <c r="X173" s="690"/>
      <c r="Y173" s="690"/>
      <c r="Z173" s="690"/>
      <c r="AA173" s="690"/>
      <c r="AB173" s="690"/>
      <c r="AC173" s="690"/>
      <c r="AD173" s="690"/>
      <c r="AE173" s="690"/>
    </row>
    <row r="174" spans="1:31" ht="15.75" customHeight="1">
      <c r="A174" s="715"/>
      <c r="B174" s="715"/>
      <c r="C174" s="715"/>
      <c r="D174" s="715"/>
      <c r="E174" s="715"/>
      <c r="F174" s="715"/>
      <c r="G174" s="715"/>
      <c r="H174" s="715"/>
      <c r="I174" s="690"/>
      <c r="J174" s="690"/>
      <c r="K174" s="690"/>
      <c r="L174" s="690"/>
      <c r="M174" s="690"/>
      <c r="N174" s="690"/>
      <c r="O174" s="690"/>
      <c r="P174" s="690"/>
      <c r="Q174" s="690"/>
      <c r="R174" s="690"/>
      <c r="S174" s="690"/>
      <c r="T174" s="690"/>
      <c r="U174" s="690"/>
      <c r="V174" s="690"/>
      <c r="W174" s="690"/>
      <c r="X174" s="690"/>
      <c r="Y174" s="690"/>
      <c r="Z174" s="690"/>
      <c r="AA174" s="690"/>
      <c r="AB174" s="690"/>
      <c r="AC174" s="690"/>
      <c r="AD174" s="690"/>
      <c r="AE174" s="690"/>
    </row>
    <row r="175" spans="1:31" ht="15.75" customHeight="1">
      <c r="A175" s="715"/>
      <c r="B175" s="715"/>
      <c r="C175" s="715"/>
      <c r="D175" s="715"/>
      <c r="E175" s="715"/>
      <c r="F175" s="715"/>
      <c r="G175" s="715"/>
      <c r="H175" s="715"/>
      <c r="I175" s="690"/>
      <c r="J175" s="690"/>
      <c r="K175" s="690"/>
      <c r="L175" s="690"/>
      <c r="M175" s="690"/>
      <c r="N175" s="690"/>
      <c r="O175" s="690"/>
      <c r="P175" s="690"/>
      <c r="Q175" s="690"/>
      <c r="R175" s="690"/>
      <c r="S175" s="690"/>
      <c r="T175" s="690"/>
      <c r="U175" s="690"/>
      <c r="V175" s="690"/>
      <c r="W175" s="690"/>
      <c r="X175" s="690"/>
      <c r="Y175" s="690"/>
      <c r="Z175" s="690"/>
      <c r="AA175" s="690"/>
      <c r="AB175" s="690"/>
      <c r="AC175" s="690"/>
      <c r="AD175" s="690"/>
      <c r="AE175" s="690"/>
    </row>
    <row r="176" spans="1:31" ht="15.75" customHeight="1">
      <c r="A176" s="715"/>
      <c r="B176" s="715"/>
      <c r="C176" s="715"/>
      <c r="D176" s="715"/>
      <c r="E176" s="715"/>
      <c r="F176" s="715"/>
      <c r="G176" s="715"/>
      <c r="H176" s="715"/>
      <c r="I176" s="690"/>
      <c r="J176" s="690"/>
      <c r="K176" s="690"/>
      <c r="L176" s="690"/>
      <c r="M176" s="690"/>
      <c r="N176" s="690"/>
      <c r="O176" s="690"/>
      <c r="P176" s="690"/>
      <c r="Q176" s="690"/>
      <c r="R176" s="690"/>
      <c r="S176" s="690"/>
      <c r="T176" s="690"/>
      <c r="U176" s="690"/>
      <c r="V176" s="690"/>
      <c r="W176" s="690"/>
      <c r="X176" s="690"/>
      <c r="Y176" s="690"/>
      <c r="Z176" s="690"/>
      <c r="AA176" s="690"/>
      <c r="AB176" s="690"/>
      <c r="AC176" s="690"/>
      <c r="AD176" s="690"/>
      <c r="AE176" s="690"/>
    </row>
    <row r="177" spans="1:31" ht="15.75" customHeight="1">
      <c r="A177" s="715"/>
      <c r="B177" s="715"/>
      <c r="C177" s="715"/>
      <c r="D177" s="715"/>
      <c r="E177" s="715"/>
      <c r="F177" s="715"/>
      <c r="G177" s="715"/>
      <c r="H177" s="715"/>
      <c r="I177" s="690"/>
      <c r="J177" s="690"/>
      <c r="K177" s="690"/>
      <c r="L177" s="690"/>
      <c r="M177" s="690"/>
      <c r="N177" s="690"/>
      <c r="O177" s="690"/>
      <c r="P177" s="690"/>
      <c r="Q177" s="690"/>
      <c r="R177" s="690"/>
      <c r="S177" s="690"/>
      <c r="T177" s="690"/>
      <c r="U177" s="690"/>
      <c r="V177" s="690"/>
      <c r="W177" s="690"/>
      <c r="X177" s="690"/>
      <c r="Y177" s="690"/>
      <c r="Z177" s="690"/>
      <c r="AA177" s="690"/>
      <c r="AB177" s="690"/>
      <c r="AC177" s="690"/>
      <c r="AD177" s="690"/>
      <c r="AE177" s="690"/>
    </row>
    <row r="178" spans="1:31" ht="15.75" customHeight="1">
      <c r="A178" s="715"/>
      <c r="B178" s="715"/>
      <c r="C178" s="715"/>
      <c r="D178" s="715"/>
      <c r="E178" s="715"/>
      <c r="F178" s="715"/>
      <c r="G178" s="715"/>
      <c r="H178" s="715"/>
      <c r="I178" s="690"/>
      <c r="J178" s="690"/>
      <c r="K178" s="690"/>
      <c r="L178" s="690"/>
      <c r="M178" s="690"/>
      <c r="N178" s="690"/>
      <c r="O178" s="690"/>
      <c r="P178" s="690"/>
      <c r="Q178" s="690"/>
      <c r="R178" s="690"/>
      <c r="S178" s="690"/>
      <c r="T178" s="690"/>
      <c r="U178" s="690"/>
      <c r="V178" s="690"/>
      <c r="W178" s="690"/>
      <c r="X178" s="690"/>
      <c r="Y178" s="690"/>
      <c r="Z178" s="690"/>
      <c r="AA178" s="690"/>
      <c r="AB178" s="690"/>
      <c r="AC178" s="690"/>
      <c r="AD178" s="690"/>
      <c r="AE178" s="690"/>
    </row>
    <row r="179" spans="1:31" ht="15.75" customHeight="1">
      <c r="A179" s="715"/>
      <c r="B179" s="715"/>
      <c r="C179" s="715"/>
      <c r="D179" s="715"/>
      <c r="E179" s="715"/>
      <c r="F179" s="715"/>
      <c r="G179" s="715"/>
      <c r="H179" s="715"/>
      <c r="I179" s="690"/>
      <c r="J179" s="690"/>
      <c r="K179" s="690"/>
      <c r="L179" s="690"/>
      <c r="M179" s="690"/>
      <c r="N179" s="690"/>
      <c r="O179" s="690"/>
      <c r="P179" s="690"/>
      <c r="Q179" s="690"/>
      <c r="R179" s="690"/>
      <c r="S179" s="690"/>
      <c r="T179" s="690"/>
      <c r="U179" s="690"/>
      <c r="V179" s="690"/>
      <c r="W179" s="690"/>
      <c r="X179" s="690"/>
      <c r="Y179" s="690"/>
      <c r="Z179" s="690"/>
      <c r="AA179" s="690"/>
      <c r="AB179" s="690"/>
      <c r="AC179" s="690"/>
      <c r="AD179" s="690"/>
      <c r="AE179" s="690"/>
    </row>
    <row r="180" spans="1:31" ht="15.75" customHeight="1">
      <c r="A180" s="715"/>
      <c r="B180" s="715"/>
      <c r="C180" s="715"/>
      <c r="D180" s="715"/>
      <c r="E180" s="715"/>
      <c r="F180" s="715"/>
      <c r="G180" s="715"/>
      <c r="H180" s="715"/>
      <c r="I180" s="690"/>
      <c r="J180" s="690"/>
      <c r="K180" s="690"/>
      <c r="L180" s="690"/>
      <c r="M180" s="690"/>
      <c r="N180" s="690"/>
      <c r="O180" s="690"/>
      <c r="P180" s="690"/>
      <c r="Q180" s="690"/>
      <c r="R180" s="690"/>
      <c r="S180" s="690"/>
      <c r="T180" s="690"/>
      <c r="U180" s="690"/>
      <c r="V180" s="690"/>
      <c r="W180" s="690"/>
      <c r="X180" s="690"/>
      <c r="Y180" s="690"/>
      <c r="Z180" s="690"/>
      <c r="AA180" s="690"/>
      <c r="AB180" s="690"/>
      <c r="AC180" s="690"/>
      <c r="AD180" s="690"/>
      <c r="AE180" s="690"/>
    </row>
    <row r="181" spans="1:31" ht="15.75" customHeight="1">
      <c r="A181" s="715"/>
      <c r="B181" s="715"/>
      <c r="C181" s="715"/>
      <c r="D181" s="715"/>
      <c r="E181" s="715"/>
      <c r="F181" s="715"/>
      <c r="G181" s="715"/>
      <c r="H181" s="715"/>
      <c r="I181" s="690"/>
      <c r="J181" s="690"/>
      <c r="K181" s="690"/>
      <c r="L181" s="690"/>
      <c r="M181" s="690"/>
      <c r="N181" s="690"/>
      <c r="O181" s="690"/>
      <c r="P181" s="690"/>
      <c r="Q181" s="690"/>
      <c r="R181" s="690"/>
      <c r="S181" s="690"/>
      <c r="T181" s="690"/>
      <c r="U181" s="690"/>
      <c r="V181" s="690"/>
      <c r="W181" s="690"/>
      <c r="X181" s="690"/>
      <c r="Y181" s="690"/>
      <c r="Z181" s="690"/>
      <c r="AA181" s="690"/>
      <c r="AB181" s="690"/>
      <c r="AC181" s="690"/>
      <c r="AD181" s="690"/>
      <c r="AE181" s="690"/>
    </row>
    <row r="182" spans="1:31" ht="15.75" customHeight="1">
      <c r="A182" s="715"/>
      <c r="B182" s="715"/>
      <c r="C182" s="715"/>
      <c r="D182" s="715"/>
      <c r="E182" s="715"/>
      <c r="F182" s="715"/>
      <c r="G182" s="715"/>
      <c r="H182" s="715"/>
      <c r="I182" s="690"/>
      <c r="J182" s="690"/>
      <c r="K182" s="690"/>
      <c r="L182" s="690"/>
      <c r="M182" s="690"/>
      <c r="N182" s="690"/>
      <c r="O182" s="690"/>
      <c r="P182" s="690"/>
      <c r="Q182" s="690"/>
      <c r="R182" s="690"/>
      <c r="S182" s="690"/>
      <c r="T182" s="690"/>
      <c r="U182" s="690"/>
      <c r="V182" s="690"/>
      <c r="W182" s="690"/>
      <c r="X182" s="690"/>
      <c r="Y182" s="690"/>
      <c r="Z182" s="690"/>
      <c r="AA182" s="690"/>
      <c r="AB182" s="690"/>
      <c r="AC182" s="690"/>
      <c r="AD182" s="690"/>
      <c r="AE182" s="690"/>
    </row>
    <row r="183" spans="1:31" ht="15.75" customHeight="1">
      <c r="A183" s="715"/>
      <c r="B183" s="715"/>
      <c r="C183" s="715"/>
      <c r="D183" s="715"/>
      <c r="E183" s="715"/>
      <c r="F183" s="715"/>
      <c r="G183" s="715"/>
      <c r="H183" s="715"/>
      <c r="I183" s="690"/>
      <c r="J183" s="690"/>
      <c r="K183" s="690"/>
      <c r="L183" s="690"/>
      <c r="M183" s="690"/>
      <c r="N183" s="690"/>
      <c r="O183" s="690"/>
      <c r="P183" s="690"/>
      <c r="Q183" s="690"/>
      <c r="R183" s="690"/>
      <c r="S183" s="690"/>
      <c r="T183" s="690"/>
      <c r="U183" s="690"/>
      <c r="V183" s="690"/>
      <c r="W183" s="690"/>
      <c r="X183" s="690"/>
      <c r="Y183" s="690"/>
      <c r="Z183" s="690"/>
      <c r="AA183" s="690"/>
      <c r="AB183" s="690"/>
      <c r="AC183" s="690"/>
      <c r="AD183" s="690"/>
      <c r="AE183" s="690"/>
    </row>
    <row r="184" spans="1:31" ht="15.75" customHeight="1">
      <c r="A184" s="715"/>
      <c r="B184" s="715"/>
      <c r="C184" s="715"/>
      <c r="D184" s="715"/>
      <c r="E184" s="715"/>
      <c r="F184" s="715"/>
      <c r="G184" s="715"/>
      <c r="H184" s="715"/>
      <c r="I184" s="690"/>
      <c r="J184" s="690"/>
      <c r="K184" s="690"/>
      <c r="L184" s="690"/>
      <c r="M184" s="690"/>
      <c r="N184" s="690"/>
      <c r="O184" s="690"/>
      <c r="P184" s="690"/>
      <c r="Q184" s="690"/>
      <c r="R184" s="690"/>
      <c r="S184" s="690"/>
      <c r="T184" s="690"/>
      <c r="U184" s="690"/>
      <c r="V184" s="690"/>
      <c r="W184" s="690"/>
      <c r="X184" s="690"/>
      <c r="Y184" s="690"/>
      <c r="Z184" s="690"/>
      <c r="AA184" s="690"/>
      <c r="AB184" s="690"/>
      <c r="AC184" s="690"/>
      <c r="AD184" s="690"/>
      <c r="AE184" s="690"/>
    </row>
    <row r="185" spans="1:31" ht="15.75" customHeight="1">
      <c r="A185" s="715"/>
      <c r="B185" s="715"/>
      <c r="C185" s="715"/>
      <c r="D185" s="715"/>
      <c r="E185" s="715"/>
      <c r="F185" s="715"/>
      <c r="G185" s="715"/>
      <c r="H185" s="715"/>
      <c r="I185" s="690"/>
      <c r="J185" s="690"/>
      <c r="K185" s="690"/>
      <c r="L185" s="690"/>
      <c r="M185" s="690"/>
      <c r="N185" s="690"/>
      <c r="O185" s="690"/>
      <c r="P185" s="690"/>
      <c r="Q185" s="690"/>
      <c r="R185" s="690"/>
      <c r="S185" s="690"/>
      <c r="T185" s="690"/>
      <c r="U185" s="690"/>
      <c r="V185" s="690"/>
      <c r="W185" s="690"/>
      <c r="X185" s="690"/>
      <c r="Y185" s="690"/>
      <c r="Z185" s="690"/>
      <c r="AA185" s="690"/>
      <c r="AB185" s="690"/>
      <c r="AC185" s="690"/>
      <c r="AD185" s="690"/>
      <c r="AE185" s="690"/>
    </row>
    <row r="186" spans="1:31" ht="15.75" customHeight="1">
      <c r="A186" s="715"/>
      <c r="B186" s="715"/>
      <c r="C186" s="715"/>
      <c r="D186" s="715"/>
      <c r="E186" s="715"/>
      <c r="F186" s="715"/>
      <c r="G186" s="715"/>
      <c r="H186" s="715"/>
      <c r="I186" s="690"/>
      <c r="J186" s="690"/>
      <c r="K186" s="690"/>
      <c r="L186" s="690"/>
      <c r="M186" s="690"/>
      <c r="N186" s="690"/>
      <c r="O186" s="690"/>
      <c r="P186" s="690"/>
      <c r="Q186" s="690"/>
      <c r="R186" s="690"/>
      <c r="S186" s="690"/>
      <c r="T186" s="690"/>
      <c r="U186" s="690"/>
      <c r="V186" s="690"/>
      <c r="W186" s="690"/>
      <c r="X186" s="690"/>
      <c r="Y186" s="690"/>
      <c r="Z186" s="690"/>
      <c r="AA186" s="690"/>
      <c r="AB186" s="690"/>
      <c r="AC186" s="690"/>
      <c r="AD186" s="690"/>
      <c r="AE186" s="690"/>
    </row>
    <row r="187" spans="1:31" ht="15.75" customHeight="1">
      <c r="A187" s="715"/>
      <c r="B187" s="715"/>
      <c r="C187" s="715"/>
      <c r="D187" s="715"/>
      <c r="E187" s="715"/>
      <c r="F187" s="715"/>
      <c r="G187" s="715"/>
      <c r="H187" s="715"/>
      <c r="I187" s="690"/>
      <c r="J187" s="690"/>
      <c r="K187" s="690"/>
      <c r="L187" s="690"/>
      <c r="M187" s="690"/>
      <c r="N187" s="690"/>
      <c r="O187" s="690"/>
      <c r="P187" s="690"/>
      <c r="Q187" s="690"/>
      <c r="R187" s="690"/>
      <c r="S187" s="690"/>
      <c r="T187" s="690"/>
      <c r="U187" s="690"/>
      <c r="V187" s="690"/>
      <c r="W187" s="690"/>
      <c r="X187" s="690"/>
      <c r="Y187" s="690"/>
      <c r="Z187" s="690"/>
      <c r="AA187" s="690"/>
      <c r="AB187" s="690"/>
      <c r="AC187" s="690"/>
      <c r="AD187" s="690"/>
      <c r="AE187" s="690"/>
    </row>
    <row r="188" spans="1:31" ht="15.75" customHeight="1">
      <c r="A188" s="715"/>
      <c r="B188" s="715"/>
      <c r="C188" s="715"/>
      <c r="D188" s="715"/>
      <c r="E188" s="715"/>
      <c r="F188" s="715"/>
      <c r="G188" s="715"/>
      <c r="H188" s="715"/>
      <c r="I188" s="690"/>
      <c r="J188" s="690"/>
      <c r="K188" s="690"/>
      <c r="L188" s="690"/>
      <c r="M188" s="690"/>
      <c r="N188" s="690"/>
      <c r="O188" s="690"/>
      <c r="P188" s="690"/>
      <c r="Q188" s="690"/>
      <c r="R188" s="690"/>
      <c r="S188" s="690"/>
      <c r="T188" s="690"/>
      <c r="U188" s="690"/>
      <c r="V188" s="690"/>
      <c r="W188" s="690"/>
      <c r="X188" s="690"/>
      <c r="Y188" s="690"/>
      <c r="Z188" s="690"/>
      <c r="AA188" s="690"/>
      <c r="AB188" s="690"/>
      <c r="AC188" s="690"/>
      <c r="AD188" s="690"/>
      <c r="AE188" s="690"/>
    </row>
    <row r="189" spans="1:31" ht="15.75" customHeight="1">
      <c r="A189" s="715"/>
      <c r="B189" s="715"/>
      <c r="C189" s="715"/>
      <c r="D189" s="715"/>
      <c r="E189" s="715"/>
      <c r="F189" s="715"/>
      <c r="G189" s="715"/>
      <c r="H189" s="715"/>
      <c r="I189" s="690"/>
      <c r="J189" s="690"/>
      <c r="K189" s="690"/>
      <c r="L189" s="690"/>
      <c r="M189" s="690"/>
      <c r="N189" s="690"/>
      <c r="O189" s="690"/>
      <c r="P189" s="690"/>
      <c r="Q189" s="690"/>
      <c r="R189" s="690"/>
      <c r="S189" s="690"/>
      <c r="T189" s="690"/>
      <c r="U189" s="690"/>
      <c r="V189" s="690"/>
      <c r="W189" s="690"/>
      <c r="X189" s="690"/>
      <c r="Y189" s="690"/>
      <c r="Z189" s="690"/>
      <c r="AA189" s="690"/>
      <c r="AB189" s="690"/>
      <c r="AC189" s="690"/>
      <c r="AD189" s="690"/>
      <c r="AE189" s="690"/>
    </row>
    <row r="190" spans="1:31" ht="15.75" customHeight="1">
      <c r="A190" s="715"/>
      <c r="B190" s="715"/>
      <c r="C190" s="715"/>
      <c r="D190" s="715"/>
      <c r="E190" s="715"/>
      <c r="F190" s="715"/>
      <c r="G190" s="715"/>
      <c r="H190" s="715"/>
      <c r="I190" s="690"/>
      <c r="J190" s="690"/>
      <c r="K190" s="690"/>
      <c r="L190" s="690"/>
      <c r="M190" s="690"/>
      <c r="N190" s="690"/>
      <c r="O190" s="690"/>
      <c r="P190" s="690"/>
      <c r="Q190" s="690"/>
      <c r="R190" s="690"/>
      <c r="S190" s="690"/>
      <c r="T190" s="690"/>
      <c r="U190" s="690"/>
      <c r="V190" s="690"/>
      <c r="W190" s="690"/>
      <c r="X190" s="690"/>
      <c r="Y190" s="690"/>
      <c r="Z190" s="690"/>
      <c r="AA190" s="690"/>
      <c r="AB190" s="690"/>
      <c r="AC190" s="690"/>
      <c r="AD190" s="690"/>
      <c r="AE190" s="690"/>
    </row>
    <row r="191" spans="1:31" ht="15.75" customHeight="1">
      <c r="A191" s="715"/>
      <c r="B191" s="715"/>
      <c r="C191" s="715"/>
      <c r="D191" s="715"/>
      <c r="E191" s="715"/>
      <c r="F191" s="715"/>
      <c r="G191" s="715"/>
      <c r="H191" s="715"/>
      <c r="I191" s="690"/>
      <c r="J191" s="690"/>
      <c r="K191" s="690"/>
      <c r="L191" s="690"/>
      <c r="M191" s="690"/>
      <c r="N191" s="690"/>
      <c r="O191" s="690"/>
      <c r="P191" s="690"/>
      <c r="Q191" s="690"/>
      <c r="R191" s="690"/>
      <c r="S191" s="690"/>
      <c r="T191" s="690"/>
      <c r="U191" s="690"/>
      <c r="V191" s="690"/>
      <c r="W191" s="690"/>
      <c r="X191" s="690"/>
      <c r="Y191" s="690"/>
      <c r="Z191" s="690"/>
      <c r="AA191" s="690"/>
      <c r="AB191" s="690"/>
      <c r="AC191" s="690"/>
      <c r="AD191" s="690"/>
      <c r="AE191" s="690"/>
    </row>
    <row r="192" spans="1:31" ht="15.75" customHeight="1">
      <c r="A192" s="715"/>
      <c r="B192" s="715"/>
      <c r="C192" s="715"/>
      <c r="D192" s="715"/>
      <c r="E192" s="715"/>
      <c r="F192" s="715"/>
      <c r="G192" s="715"/>
      <c r="H192" s="715"/>
      <c r="I192" s="690"/>
      <c r="J192" s="690"/>
      <c r="K192" s="690"/>
      <c r="L192" s="690"/>
      <c r="M192" s="690"/>
      <c r="N192" s="690"/>
      <c r="O192" s="690"/>
      <c r="P192" s="690"/>
      <c r="Q192" s="690"/>
      <c r="R192" s="690"/>
      <c r="S192" s="690"/>
      <c r="T192" s="690"/>
      <c r="U192" s="690"/>
      <c r="V192" s="690"/>
      <c r="W192" s="690"/>
      <c r="X192" s="690"/>
      <c r="Y192" s="690"/>
      <c r="Z192" s="690"/>
      <c r="AA192" s="690"/>
      <c r="AB192" s="690"/>
      <c r="AC192" s="690"/>
      <c r="AD192" s="690"/>
      <c r="AE192" s="690"/>
    </row>
    <row r="193" spans="1:31" ht="15.75" customHeight="1">
      <c r="A193" s="715"/>
      <c r="B193" s="715"/>
      <c r="C193" s="715"/>
      <c r="D193" s="715"/>
      <c r="E193" s="715"/>
      <c r="F193" s="715"/>
      <c r="G193" s="715"/>
      <c r="H193" s="715"/>
      <c r="I193" s="690"/>
      <c r="J193" s="690"/>
      <c r="K193" s="690"/>
      <c r="L193" s="690"/>
      <c r="M193" s="690"/>
      <c r="N193" s="690"/>
      <c r="O193" s="690"/>
      <c r="P193" s="690"/>
      <c r="Q193" s="690"/>
      <c r="R193" s="690"/>
      <c r="S193" s="690"/>
      <c r="T193" s="690"/>
      <c r="U193" s="690"/>
      <c r="V193" s="690"/>
      <c r="W193" s="690"/>
      <c r="X193" s="690"/>
      <c r="Y193" s="690"/>
      <c r="Z193" s="690"/>
      <c r="AA193" s="690"/>
      <c r="AB193" s="690"/>
      <c r="AC193" s="690"/>
      <c r="AD193" s="690"/>
      <c r="AE193" s="690"/>
    </row>
    <row r="194" spans="1:31" ht="15.75" customHeight="1">
      <c r="A194" s="715"/>
      <c r="B194" s="715"/>
      <c r="C194" s="715"/>
      <c r="D194" s="715"/>
      <c r="E194" s="715"/>
      <c r="F194" s="715"/>
      <c r="G194" s="715"/>
      <c r="H194" s="715"/>
      <c r="I194" s="690"/>
      <c r="J194" s="690"/>
      <c r="K194" s="690"/>
      <c r="L194" s="690"/>
      <c r="M194" s="690"/>
      <c r="N194" s="690"/>
      <c r="O194" s="690"/>
      <c r="P194" s="690"/>
      <c r="Q194" s="690"/>
      <c r="R194" s="690"/>
      <c r="S194" s="690"/>
      <c r="T194" s="690"/>
      <c r="U194" s="690"/>
      <c r="V194" s="690"/>
      <c r="W194" s="690"/>
      <c r="X194" s="690"/>
      <c r="Y194" s="690"/>
      <c r="Z194" s="690"/>
      <c r="AA194" s="690"/>
      <c r="AB194" s="690"/>
      <c r="AC194" s="690"/>
      <c r="AD194" s="690"/>
      <c r="AE194" s="690"/>
    </row>
    <row r="195" spans="1:31" ht="15.75" customHeight="1">
      <c r="A195" s="715"/>
      <c r="B195" s="715"/>
      <c r="C195" s="715"/>
      <c r="D195" s="715"/>
      <c r="E195" s="715"/>
      <c r="F195" s="715"/>
      <c r="G195" s="715"/>
      <c r="H195" s="715"/>
      <c r="I195" s="690"/>
      <c r="J195" s="690"/>
      <c r="K195" s="690"/>
      <c r="L195" s="690"/>
      <c r="M195" s="690"/>
      <c r="N195" s="690"/>
      <c r="O195" s="690"/>
      <c r="P195" s="690"/>
      <c r="Q195" s="690"/>
      <c r="R195" s="690"/>
      <c r="S195" s="690"/>
      <c r="T195" s="690"/>
      <c r="U195" s="690"/>
      <c r="V195" s="690"/>
      <c r="W195" s="690"/>
      <c r="X195" s="690"/>
      <c r="Y195" s="690"/>
      <c r="Z195" s="690"/>
      <c r="AA195" s="690"/>
      <c r="AB195" s="690"/>
      <c r="AC195" s="690"/>
      <c r="AD195" s="690"/>
      <c r="AE195" s="690"/>
    </row>
    <row r="196" spans="1:31" ht="15.75" customHeight="1">
      <c r="A196" s="715"/>
      <c r="B196" s="715"/>
      <c r="C196" s="715"/>
      <c r="D196" s="715"/>
      <c r="E196" s="715"/>
      <c r="F196" s="715"/>
      <c r="G196" s="715"/>
      <c r="H196" s="715"/>
      <c r="I196" s="690"/>
      <c r="J196" s="690"/>
      <c r="K196" s="690"/>
      <c r="L196" s="690"/>
      <c r="M196" s="690"/>
      <c r="N196" s="690"/>
      <c r="O196" s="690"/>
      <c r="P196" s="690"/>
      <c r="Q196" s="690"/>
      <c r="R196" s="690"/>
      <c r="S196" s="690"/>
      <c r="T196" s="690"/>
      <c r="U196" s="690"/>
      <c r="V196" s="690"/>
      <c r="W196" s="690"/>
      <c r="X196" s="690"/>
      <c r="Y196" s="690"/>
      <c r="Z196" s="690"/>
      <c r="AA196" s="690"/>
      <c r="AB196" s="690"/>
      <c r="AC196" s="690"/>
      <c r="AD196" s="690"/>
      <c r="AE196" s="690"/>
    </row>
    <row r="197" spans="1:31" ht="15.75" customHeight="1">
      <c r="A197" s="715"/>
      <c r="B197" s="715"/>
      <c r="C197" s="715"/>
      <c r="D197" s="715"/>
      <c r="E197" s="715"/>
      <c r="F197" s="715"/>
      <c r="G197" s="715"/>
      <c r="H197" s="715"/>
      <c r="I197" s="690"/>
      <c r="J197" s="690"/>
      <c r="K197" s="690"/>
      <c r="L197" s="690"/>
      <c r="M197" s="690"/>
      <c r="N197" s="690"/>
      <c r="O197" s="690"/>
      <c r="P197" s="690"/>
      <c r="Q197" s="690"/>
      <c r="R197" s="690"/>
      <c r="S197" s="690"/>
      <c r="T197" s="690"/>
      <c r="U197" s="690"/>
      <c r="V197" s="690"/>
      <c r="W197" s="690"/>
      <c r="X197" s="690"/>
      <c r="Y197" s="690"/>
      <c r="Z197" s="690"/>
      <c r="AA197" s="690"/>
      <c r="AB197" s="690"/>
      <c r="AC197" s="690"/>
      <c r="AD197" s="690"/>
      <c r="AE197" s="690"/>
    </row>
    <row r="198" spans="1:31" ht="15.75" customHeight="1">
      <c r="A198" s="715"/>
      <c r="B198" s="715"/>
      <c r="C198" s="715"/>
      <c r="D198" s="715"/>
      <c r="E198" s="715"/>
      <c r="F198" s="715"/>
      <c r="G198" s="715"/>
      <c r="H198" s="715"/>
      <c r="I198" s="690"/>
      <c r="J198" s="690"/>
      <c r="K198" s="690"/>
      <c r="L198" s="690"/>
      <c r="M198" s="690"/>
      <c r="N198" s="690"/>
      <c r="O198" s="690"/>
      <c r="P198" s="690"/>
      <c r="Q198" s="690"/>
      <c r="R198" s="690"/>
      <c r="S198" s="690"/>
      <c r="T198" s="690"/>
      <c r="U198" s="690"/>
      <c r="V198" s="690"/>
      <c r="W198" s="690"/>
      <c r="X198" s="690"/>
      <c r="Y198" s="690"/>
      <c r="Z198" s="690"/>
      <c r="AA198" s="690"/>
      <c r="AB198" s="690"/>
      <c r="AC198" s="690"/>
      <c r="AD198" s="690"/>
      <c r="AE198" s="690"/>
    </row>
    <row r="199" spans="1:31" ht="15.75" customHeight="1">
      <c r="A199" s="715"/>
      <c r="B199" s="715"/>
      <c r="C199" s="715"/>
      <c r="D199" s="715"/>
      <c r="E199" s="715"/>
      <c r="F199" s="715"/>
      <c r="G199" s="715"/>
      <c r="H199" s="715"/>
      <c r="I199" s="690"/>
      <c r="J199" s="690"/>
      <c r="K199" s="690"/>
      <c r="L199" s="690"/>
      <c r="M199" s="690"/>
      <c r="N199" s="690"/>
      <c r="O199" s="690"/>
      <c r="P199" s="690"/>
      <c r="Q199" s="690"/>
      <c r="R199" s="690"/>
      <c r="S199" s="690"/>
      <c r="T199" s="690"/>
      <c r="U199" s="690"/>
      <c r="V199" s="690"/>
      <c r="W199" s="690"/>
      <c r="X199" s="690"/>
      <c r="Y199" s="690"/>
      <c r="Z199" s="690"/>
      <c r="AA199" s="690"/>
      <c r="AB199" s="690"/>
      <c r="AC199" s="690"/>
      <c r="AD199" s="690"/>
      <c r="AE199" s="690"/>
    </row>
    <row r="200" spans="1:31" ht="15.75" customHeight="1">
      <c r="A200" s="715"/>
      <c r="B200" s="715"/>
      <c r="C200" s="715"/>
      <c r="D200" s="715"/>
      <c r="E200" s="715"/>
      <c r="F200" s="715"/>
      <c r="G200" s="715"/>
      <c r="H200" s="715"/>
      <c r="I200" s="690"/>
      <c r="J200" s="690"/>
      <c r="K200" s="690"/>
      <c r="L200" s="690"/>
      <c r="M200" s="690"/>
      <c r="N200" s="690"/>
      <c r="O200" s="690"/>
      <c r="P200" s="690"/>
      <c r="Q200" s="690"/>
      <c r="R200" s="690"/>
      <c r="S200" s="690"/>
      <c r="T200" s="690"/>
      <c r="U200" s="690"/>
      <c r="V200" s="690"/>
      <c r="W200" s="690"/>
      <c r="X200" s="690"/>
      <c r="Y200" s="690"/>
      <c r="Z200" s="690"/>
      <c r="AA200" s="690"/>
      <c r="AB200" s="690"/>
      <c r="AC200" s="690"/>
      <c r="AD200" s="690"/>
      <c r="AE200" s="690"/>
    </row>
    <row r="201" spans="1:31" ht="15.75" customHeight="1">
      <c r="A201" s="715"/>
      <c r="B201" s="715"/>
      <c r="C201" s="715"/>
      <c r="D201" s="715"/>
      <c r="E201" s="715"/>
      <c r="F201" s="715"/>
      <c r="G201" s="715"/>
      <c r="H201" s="715"/>
      <c r="I201" s="690"/>
      <c r="J201" s="690"/>
      <c r="K201" s="690"/>
      <c r="L201" s="690"/>
      <c r="M201" s="690"/>
      <c r="N201" s="690"/>
      <c r="O201" s="690"/>
      <c r="P201" s="690"/>
      <c r="Q201" s="690"/>
      <c r="R201" s="690"/>
      <c r="S201" s="690"/>
      <c r="T201" s="690"/>
      <c r="U201" s="690"/>
      <c r="V201" s="690"/>
      <c r="W201" s="690"/>
      <c r="X201" s="690"/>
      <c r="Y201" s="690"/>
      <c r="Z201" s="690"/>
      <c r="AA201" s="690"/>
      <c r="AB201" s="690"/>
      <c r="AC201" s="690"/>
      <c r="AD201" s="690"/>
      <c r="AE201" s="690"/>
    </row>
    <row r="202" spans="1:31" ht="15.75" customHeight="1">
      <c r="A202" s="690"/>
      <c r="B202" s="690"/>
      <c r="C202" s="690"/>
      <c r="D202" s="690"/>
      <c r="E202" s="690"/>
      <c r="F202" s="690"/>
      <c r="G202" s="690"/>
      <c r="H202" s="690"/>
      <c r="I202" s="690"/>
      <c r="J202" s="690"/>
      <c r="K202" s="690"/>
      <c r="L202" s="690"/>
      <c r="M202" s="690"/>
      <c r="N202" s="690"/>
      <c r="O202" s="690"/>
      <c r="P202" s="690"/>
      <c r="Q202" s="690"/>
      <c r="R202" s="690"/>
      <c r="S202" s="690"/>
      <c r="T202" s="690"/>
      <c r="U202" s="690"/>
      <c r="V202" s="690"/>
      <c r="W202" s="690"/>
      <c r="X202" s="690"/>
      <c r="Y202" s="690"/>
      <c r="Z202" s="690"/>
      <c r="AA202" s="690"/>
      <c r="AB202" s="690"/>
      <c r="AC202" s="690"/>
      <c r="AD202" s="690"/>
      <c r="AE202" s="690"/>
    </row>
    <row r="203" spans="1:31" ht="15.75" customHeight="1">
      <c r="A203" s="690"/>
      <c r="B203" s="690"/>
      <c r="C203" s="690"/>
      <c r="D203" s="690"/>
      <c r="E203" s="690"/>
      <c r="F203" s="690"/>
      <c r="G203" s="690"/>
      <c r="H203" s="690"/>
      <c r="I203" s="690"/>
      <c r="J203" s="690"/>
      <c r="K203" s="690"/>
      <c r="L203" s="690"/>
      <c r="M203" s="690"/>
      <c r="N203" s="690"/>
      <c r="O203" s="690"/>
      <c r="P203" s="690"/>
      <c r="Q203" s="690"/>
      <c r="R203" s="690"/>
      <c r="S203" s="690"/>
      <c r="T203" s="690"/>
      <c r="U203" s="690"/>
      <c r="V203" s="690"/>
      <c r="W203" s="690"/>
      <c r="X203" s="690"/>
      <c r="Y203" s="690"/>
      <c r="Z203" s="690"/>
      <c r="AA203" s="690"/>
      <c r="AB203" s="690"/>
      <c r="AC203" s="690"/>
      <c r="AD203" s="690"/>
      <c r="AE203" s="690"/>
    </row>
    <row r="204" spans="1:31" ht="15.75" customHeight="1">
      <c r="A204" s="690"/>
      <c r="B204" s="690"/>
      <c r="C204" s="690"/>
      <c r="D204" s="690"/>
      <c r="E204" s="690"/>
      <c r="F204" s="690"/>
      <c r="G204" s="690"/>
      <c r="H204" s="690"/>
      <c r="I204" s="690"/>
      <c r="J204" s="690"/>
      <c r="K204" s="690"/>
      <c r="L204" s="690"/>
      <c r="M204" s="690"/>
      <c r="N204" s="690"/>
      <c r="O204" s="690"/>
      <c r="P204" s="690"/>
      <c r="Q204" s="690"/>
      <c r="R204" s="690"/>
      <c r="S204" s="690"/>
      <c r="T204" s="690"/>
      <c r="U204" s="690"/>
      <c r="V204" s="690"/>
      <c r="W204" s="690"/>
      <c r="X204" s="690"/>
      <c r="Y204" s="690"/>
      <c r="Z204" s="690"/>
      <c r="AA204" s="690"/>
      <c r="AB204" s="690"/>
      <c r="AC204" s="690"/>
      <c r="AD204" s="690"/>
      <c r="AE204" s="690"/>
    </row>
    <row r="205" spans="1:31" ht="15.75" customHeight="1">
      <c r="A205" s="690"/>
      <c r="B205" s="690"/>
      <c r="C205" s="690"/>
      <c r="D205" s="690"/>
      <c r="E205" s="690"/>
      <c r="F205" s="690"/>
      <c r="G205" s="690"/>
      <c r="H205" s="690"/>
      <c r="I205" s="690"/>
      <c r="J205" s="690"/>
      <c r="K205" s="690"/>
      <c r="L205" s="690"/>
      <c r="M205" s="690"/>
      <c r="N205" s="690"/>
      <c r="O205" s="690"/>
      <c r="P205" s="690"/>
      <c r="Q205" s="690"/>
      <c r="R205" s="690"/>
      <c r="S205" s="690"/>
      <c r="T205" s="690"/>
      <c r="U205" s="690"/>
      <c r="V205" s="690"/>
      <c r="W205" s="690"/>
      <c r="X205" s="690"/>
      <c r="Y205" s="690"/>
      <c r="Z205" s="690"/>
      <c r="AA205" s="690"/>
      <c r="AB205" s="690"/>
      <c r="AC205" s="690"/>
      <c r="AD205" s="690"/>
      <c r="AE205" s="690"/>
    </row>
    <row r="206" spans="1:31" ht="15.75" customHeight="1">
      <c r="A206" s="690"/>
      <c r="B206" s="690"/>
      <c r="C206" s="690"/>
      <c r="D206" s="690"/>
      <c r="E206" s="690"/>
      <c r="F206" s="690"/>
      <c r="G206" s="690"/>
      <c r="H206" s="690"/>
      <c r="I206" s="690"/>
      <c r="J206" s="690"/>
      <c r="K206" s="690"/>
      <c r="L206" s="690"/>
      <c r="M206" s="690"/>
      <c r="N206" s="690"/>
      <c r="O206" s="690"/>
      <c r="P206" s="690"/>
      <c r="Q206" s="690"/>
      <c r="R206" s="690"/>
      <c r="S206" s="690"/>
      <c r="T206" s="690"/>
      <c r="U206" s="690"/>
      <c r="V206" s="690"/>
      <c r="W206" s="690"/>
      <c r="X206" s="690"/>
      <c r="Y206" s="690"/>
      <c r="Z206" s="690"/>
      <c r="AA206" s="690"/>
      <c r="AB206" s="690"/>
      <c r="AC206" s="690"/>
      <c r="AD206" s="690"/>
      <c r="AE206" s="690"/>
    </row>
    <row r="207" spans="1:31" ht="15.75" customHeight="1">
      <c r="A207" s="690"/>
      <c r="B207" s="690"/>
      <c r="C207" s="690"/>
      <c r="D207" s="690"/>
      <c r="E207" s="690"/>
      <c r="F207" s="690"/>
      <c r="G207" s="690"/>
      <c r="H207" s="690"/>
      <c r="I207" s="690"/>
      <c r="J207" s="690"/>
      <c r="K207" s="690"/>
      <c r="L207" s="690"/>
      <c r="M207" s="690"/>
      <c r="N207" s="690"/>
      <c r="O207" s="690"/>
      <c r="P207" s="690"/>
      <c r="Q207" s="690"/>
      <c r="R207" s="690"/>
      <c r="S207" s="690"/>
      <c r="T207" s="690"/>
      <c r="U207" s="690"/>
      <c r="V207" s="690"/>
      <c r="W207" s="690"/>
      <c r="X207" s="690"/>
      <c r="Y207" s="690"/>
      <c r="Z207" s="690"/>
      <c r="AA207" s="690"/>
      <c r="AB207" s="690"/>
      <c r="AC207" s="690"/>
      <c r="AD207" s="690"/>
      <c r="AE207" s="690"/>
    </row>
    <row r="208" spans="1:31" ht="15.75" customHeight="1">
      <c r="A208" s="690"/>
      <c r="B208" s="690"/>
      <c r="C208" s="690"/>
      <c r="D208" s="690"/>
      <c r="E208" s="690"/>
      <c r="F208" s="690"/>
      <c r="G208" s="690"/>
      <c r="H208" s="690"/>
      <c r="I208" s="690"/>
      <c r="J208" s="690"/>
      <c r="K208" s="690"/>
      <c r="L208" s="690"/>
      <c r="M208" s="690"/>
      <c r="N208" s="690"/>
      <c r="O208" s="690"/>
      <c r="P208" s="690"/>
      <c r="Q208" s="690"/>
      <c r="R208" s="690"/>
      <c r="S208" s="690"/>
      <c r="T208" s="690"/>
      <c r="U208" s="690"/>
      <c r="V208" s="690"/>
      <c r="W208" s="690"/>
      <c r="X208" s="690"/>
      <c r="Y208" s="690"/>
      <c r="Z208" s="690"/>
      <c r="AA208" s="690"/>
      <c r="AB208" s="690"/>
      <c r="AC208" s="690"/>
      <c r="AD208" s="690"/>
      <c r="AE208" s="690"/>
    </row>
    <row r="209" spans="1:31" ht="15.75" customHeight="1">
      <c r="A209" s="690"/>
      <c r="B209" s="690"/>
      <c r="C209" s="690"/>
      <c r="D209" s="690"/>
      <c r="E209" s="690"/>
      <c r="F209" s="690"/>
      <c r="G209" s="690"/>
      <c r="H209" s="690"/>
      <c r="I209" s="690"/>
      <c r="J209" s="690"/>
      <c r="K209" s="690"/>
      <c r="L209" s="690"/>
      <c r="M209" s="690"/>
      <c r="N209" s="690"/>
      <c r="O209" s="690"/>
      <c r="P209" s="690"/>
      <c r="Q209" s="690"/>
      <c r="R209" s="690"/>
      <c r="S209" s="690"/>
      <c r="T209" s="690"/>
      <c r="U209" s="690"/>
      <c r="V209" s="690"/>
      <c r="W209" s="690"/>
      <c r="X209" s="690"/>
      <c r="Y209" s="690"/>
      <c r="Z209" s="690"/>
      <c r="AA209" s="690"/>
      <c r="AB209" s="690"/>
      <c r="AC209" s="690"/>
      <c r="AD209" s="690"/>
      <c r="AE209" s="690"/>
    </row>
    <row r="210" spans="1:31" ht="15.75" customHeight="1">
      <c r="A210" s="690"/>
      <c r="B210" s="690"/>
      <c r="C210" s="690"/>
      <c r="D210" s="690"/>
      <c r="E210" s="690"/>
      <c r="F210" s="690"/>
      <c r="G210" s="690"/>
      <c r="H210" s="690"/>
      <c r="I210" s="690"/>
      <c r="J210" s="690"/>
      <c r="K210" s="690"/>
      <c r="L210" s="690"/>
      <c r="M210" s="690"/>
      <c r="N210" s="690"/>
      <c r="O210" s="690"/>
      <c r="P210" s="690"/>
      <c r="Q210" s="690"/>
      <c r="R210" s="690"/>
      <c r="S210" s="690"/>
      <c r="T210" s="690"/>
      <c r="U210" s="690"/>
      <c r="V210" s="690"/>
      <c r="W210" s="690"/>
      <c r="X210" s="690"/>
      <c r="Y210" s="690"/>
      <c r="Z210" s="690"/>
      <c r="AA210" s="690"/>
      <c r="AB210" s="690"/>
      <c r="AC210" s="690"/>
      <c r="AD210" s="690"/>
      <c r="AE210" s="690"/>
    </row>
    <row r="211" spans="1:31" ht="15.75" customHeight="1">
      <c r="A211" s="690"/>
      <c r="B211" s="690"/>
      <c r="C211" s="690"/>
      <c r="D211" s="690"/>
      <c r="E211" s="690"/>
      <c r="F211" s="690"/>
      <c r="G211" s="690"/>
      <c r="H211" s="690"/>
      <c r="I211" s="690"/>
      <c r="J211" s="690"/>
      <c r="K211" s="690"/>
      <c r="L211" s="690"/>
      <c r="M211" s="690"/>
      <c r="N211" s="690"/>
      <c r="O211" s="690"/>
      <c r="P211" s="690"/>
      <c r="Q211" s="690"/>
      <c r="R211" s="690"/>
      <c r="S211" s="690"/>
      <c r="T211" s="690"/>
      <c r="U211" s="690"/>
      <c r="V211" s="690"/>
      <c r="W211" s="690"/>
      <c r="X211" s="690"/>
      <c r="Y211" s="690"/>
      <c r="Z211" s="690"/>
      <c r="AA211" s="690"/>
      <c r="AB211" s="690"/>
      <c r="AC211" s="690"/>
      <c r="AD211" s="690"/>
      <c r="AE211" s="690"/>
    </row>
    <row r="212" spans="1:31" ht="15.75" customHeight="1">
      <c r="A212" s="690"/>
      <c r="B212" s="690"/>
      <c r="C212" s="690"/>
      <c r="D212" s="690"/>
      <c r="E212" s="690"/>
      <c r="F212" s="690"/>
      <c r="G212" s="690"/>
      <c r="H212" s="690"/>
      <c r="I212" s="690"/>
      <c r="J212" s="690"/>
      <c r="K212" s="690"/>
      <c r="L212" s="690"/>
      <c r="M212" s="690"/>
      <c r="N212" s="690"/>
      <c r="O212" s="690"/>
      <c r="P212" s="690"/>
      <c r="Q212" s="690"/>
      <c r="R212" s="690"/>
      <c r="S212" s="690"/>
      <c r="T212" s="690"/>
      <c r="U212" s="690"/>
      <c r="V212" s="690"/>
      <c r="W212" s="690"/>
      <c r="X212" s="690"/>
      <c r="Y212" s="690"/>
      <c r="Z212" s="690"/>
      <c r="AA212" s="690"/>
      <c r="AB212" s="690"/>
      <c r="AC212" s="690"/>
      <c r="AD212" s="690"/>
      <c r="AE212" s="690"/>
    </row>
    <row r="213" spans="1:31" ht="15.75" customHeight="1">
      <c r="A213" s="690"/>
      <c r="B213" s="690"/>
      <c r="C213" s="690"/>
      <c r="D213" s="690"/>
      <c r="E213" s="690"/>
      <c r="F213" s="690"/>
      <c r="G213" s="690"/>
      <c r="H213" s="690"/>
      <c r="I213" s="690"/>
      <c r="J213" s="690"/>
      <c r="K213" s="690"/>
      <c r="L213" s="690"/>
      <c r="M213" s="690"/>
      <c r="N213" s="690"/>
      <c r="O213" s="690"/>
      <c r="P213" s="690"/>
      <c r="Q213" s="690"/>
      <c r="R213" s="690"/>
      <c r="S213" s="690"/>
      <c r="T213" s="690"/>
      <c r="U213" s="690"/>
      <c r="V213" s="690"/>
      <c r="W213" s="690"/>
      <c r="X213" s="690"/>
      <c r="Y213" s="690"/>
      <c r="Z213" s="690"/>
      <c r="AA213" s="690"/>
      <c r="AB213" s="690"/>
      <c r="AC213" s="690"/>
      <c r="AD213" s="690"/>
      <c r="AE213" s="690"/>
    </row>
    <row r="214" spans="1:31" ht="15.75" customHeight="1">
      <c r="A214" s="690"/>
      <c r="B214" s="690"/>
      <c r="C214" s="690"/>
      <c r="D214" s="690"/>
      <c r="E214" s="690"/>
      <c r="F214" s="690"/>
      <c r="G214" s="690"/>
      <c r="H214" s="690"/>
      <c r="I214" s="690"/>
      <c r="J214" s="690"/>
      <c r="K214" s="690"/>
      <c r="L214" s="690"/>
      <c r="M214" s="690"/>
      <c r="N214" s="690"/>
      <c r="O214" s="690"/>
      <c r="P214" s="690"/>
      <c r="Q214" s="690"/>
      <c r="R214" s="690"/>
      <c r="S214" s="690"/>
      <c r="T214" s="690"/>
      <c r="U214" s="690"/>
      <c r="V214" s="690"/>
      <c r="W214" s="690"/>
      <c r="X214" s="690"/>
      <c r="Y214" s="690"/>
      <c r="Z214" s="690"/>
      <c r="AA214" s="690"/>
      <c r="AB214" s="690"/>
      <c r="AC214" s="690"/>
      <c r="AD214" s="690"/>
      <c r="AE214" s="690"/>
    </row>
    <row r="215" spans="1:31" ht="15.75" customHeight="1">
      <c r="A215" s="690"/>
      <c r="B215" s="690"/>
      <c r="C215" s="690"/>
      <c r="D215" s="690"/>
      <c r="E215" s="690"/>
      <c r="F215" s="690"/>
      <c r="G215" s="690"/>
      <c r="H215" s="690"/>
      <c r="I215" s="690"/>
      <c r="J215" s="690"/>
      <c r="K215" s="690"/>
      <c r="L215" s="690"/>
      <c r="M215" s="690"/>
      <c r="N215" s="690"/>
      <c r="O215" s="690"/>
      <c r="P215" s="690"/>
      <c r="Q215" s="690"/>
      <c r="R215" s="690"/>
      <c r="S215" s="690"/>
      <c r="T215" s="690"/>
      <c r="U215" s="690"/>
      <c r="V215" s="690"/>
      <c r="W215" s="690"/>
      <c r="X215" s="690"/>
      <c r="Y215" s="690"/>
      <c r="Z215" s="690"/>
      <c r="AA215" s="690"/>
      <c r="AB215" s="690"/>
      <c r="AC215" s="690"/>
      <c r="AD215" s="690"/>
      <c r="AE215" s="690"/>
    </row>
    <row r="216" spans="1:31" ht="15.75" customHeight="1">
      <c r="A216" s="690"/>
      <c r="B216" s="690"/>
      <c r="C216" s="690"/>
      <c r="D216" s="690"/>
      <c r="E216" s="690"/>
      <c r="F216" s="690"/>
      <c r="G216" s="690"/>
      <c r="H216" s="690"/>
      <c r="I216" s="690"/>
      <c r="J216" s="690"/>
      <c r="K216" s="690"/>
      <c r="L216" s="690"/>
      <c r="M216" s="690"/>
      <c r="N216" s="690"/>
      <c r="O216" s="690"/>
      <c r="P216" s="690"/>
      <c r="Q216" s="690"/>
      <c r="R216" s="690"/>
      <c r="S216" s="690"/>
      <c r="T216" s="690"/>
      <c r="U216" s="690"/>
      <c r="V216" s="690"/>
      <c r="W216" s="690"/>
      <c r="X216" s="690"/>
      <c r="Y216" s="690"/>
      <c r="Z216" s="690"/>
      <c r="AA216" s="690"/>
      <c r="AB216" s="690"/>
      <c r="AC216" s="690"/>
      <c r="AD216" s="690"/>
      <c r="AE216" s="690"/>
    </row>
    <row r="217" spans="1:31" ht="15.75" customHeight="1">
      <c r="A217" s="690"/>
      <c r="B217" s="690"/>
      <c r="C217" s="690"/>
      <c r="D217" s="690"/>
      <c r="E217" s="690"/>
      <c r="F217" s="690"/>
      <c r="G217" s="690"/>
      <c r="H217" s="690"/>
      <c r="I217" s="690"/>
      <c r="J217" s="690"/>
      <c r="K217" s="690"/>
      <c r="L217" s="690"/>
      <c r="M217" s="690"/>
      <c r="N217" s="690"/>
      <c r="O217" s="690"/>
      <c r="P217" s="690"/>
      <c r="Q217" s="690"/>
      <c r="R217" s="690"/>
      <c r="S217" s="690"/>
      <c r="T217" s="690"/>
      <c r="U217" s="690"/>
      <c r="V217" s="690"/>
      <c r="W217" s="690"/>
      <c r="X217" s="690"/>
      <c r="Y217" s="690"/>
      <c r="Z217" s="690"/>
      <c r="AA217" s="690"/>
      <c r="AB217" s="690"/>
      <c r="AC217" s="690"/>
      <c r="AD217" s="690"/>
      <c r="AE217" s="690"/>
    </row>
    <row r="218" spans="1:31" ht="15.75" customHeight="1">
      <c r="A218" s="690"/>
      <c r="B218" s="690"/>
      <c r="C218" s="690"/>
      <c r="D218" s="690"/>
      <c r="E218" s="690"/>
      <c r="F218" s="690"/>
      <c r="G218" s="690"/>
      <c r="H218" s="690"/>
      <c r="I218" s="690"/>
      <c r="J218" s="690"/>
      <c r="K218" s="690"/>
      <c r="L218" s="690"/>
      <c r="M218" s="690"/>
      <c r="N218" s="690"/>
      <c r="O218" s="690"/>
      <c r="P218" s="690"/>
      <c r="Q218" s="690"/>
      <c r="R218" s="690"/>
      <c r="S218" s="690"/>
      <c r="T218" s="690"/>
      <c r="U218" s="690"/>
      <c r="V218" s="690"/>
      <c r="W218" s="690"/>
      <c r="X218" s="690"/>
      <c r="Y218" s="690"/>
      <c r="Z218" s="690"/>
      <c r="AA218" s="690"/>
      <c r="AB218" s="690"/>
      <c r="AC218" s="690"/>
      <c r="AD218" s="690"/>
      <c r="AE218" s="690"/>
    </row>
    <row r="219" spans="1:31" ht="15.75" customHeight="1">
      <c r="A219" s="690"/>
      <c r="B219" s="690"/>
      <c r="C219" s="690"/>
      <c r="D219" s="690"/>
      <c r="E219" s="690"/>
      <c r="F219" s="690"/>
      <c r="G219" s="690"/>
      <c r="H219" s="690"/>
      <c r="I219" s="690"/>
      <c r="J219" s="690"/>
      <c r="K219" s="690"/>
      <c r="L219" s="690"/>
      <c r="M219" s="690"/>
      <c r="N219" s="690"/>
      <c r="O219" s="690"/>
      <c r="P219" s="690"/>
      <c r="Q219" s="690"/>
      <c r="R219" s="690"/>
      <c r="S219" s="690"/>
      <c r="T219" s="690"/>
      <c r="U219" s="690"/>
      <c r="V219" s="690"/>
      <c r="W219" s="690"/>
      <c r="X219" s="690"/>
      <c r="Y219" s="690"/>
      <c r="Z219" s="690"/>
      <c r="AA219" s="690"/>
      <c r="AB219" s="690"/>
      <c r="AC219" s="690"/>
      <c r="AD219" s="690"/>
      <c r="AE219" s="690"/>
    </row>
    <row r="220" spans="1:31" ht="15.75" customHeight="1">
      <c r="A220" s="690"/>
      <c r="B220" s="690"/>
      <c r="C220" s="690"/>
      <c r="D220" s="690"/>
      <c r="E220" s="690"/>
      <c r="F220" s="690"/>
      <c r="G220" s="690"/>
      <c r="H220" s="690"/>
      <c r="I220" s="690"/>
      <c r="J220" s="690"/>
      <c r="K220" s="690"/>
      <c r="L220" s="690"/>
      <c r="M220" s="690"/>
      <c r="N220" s="690"/>
      <c r="O220" s="690"/>
      <c r="P220" s="690"/>
      <c r="Q220" s="690"/>
      <c r="R220" s="690"/>
      <c r="S220" s="690"/>
      <c r="T220" s="690"/>
      <c r="U220" s="690"/>
      <c r="V220" s="690"/>
      <c r="W220" s="690"/>
      <c r="X220" s="690"/>
      <c r="Y220" s="690"/>
      <c r="Z220" s="690"/>
      <c r="AA220" s="690"/>
      <c r="AB220" s="690"/>
      <c r="AC220" s="690"/>
      <c r="AD220" s="690"/>
      <c r="AE220" s="690"/>
    </row>
    <row r="221" spans="1:31" ht="15.75" customHeight="1">
      <c r="A221" s="690"/>
      <c r="B221" s="690"/>
      <c r="C221" s="690"/>
      <c r="D221" s="690"/>
      <c r="E221" s="690"/>
      <c r="F221" s="690"/>
      <c r="G221" s="690"/>
      <c r="H221" s="690"/>
      <c r="I221" s="690"/>
      <c r="J221" s="690"/>
      <c r="K221" s="690"/>
      <c r="L221" s="690"/>
      <c r="M221" s="690"/>
      <c r="N221" s="690"/>
      <c r="O221" s="690"/>
      <c r="P221" s="690"/>
      <c r="Q221" s="690"/>
      <c r="R221" s="690"/>
      <c r="S221" s="690"/>
      <c r="T221" s="690"/>
      <c r="U221" s="690"/>
      <c r="V221" s="690"/>
      <c r="W221" s="690"/>
      <c r="X221" s="690"/>
      <c r="Y221" s="690"/>
      <c r="Z221" s="690"/>
      <c r="AA221" s="690"/>
      <c r="AB221" s="690"/>
      <c r="AC221" s="690"/>
      <c r="AD221" s="690"/>
      <c r="AE221" s="690"/>
    </row>
    <row r="222" spans="1:31" ht="15.75" customHeight="1">
      <c r="A222" s="690"/>
      <c r="B222" s="690"/>
      <c r="C222" s="690"/>
      <c r="D222" s="690"/>
      <c r="E222" s="690"/>
      <c r="F222" s="690"/>
      <c r="G222" s="690"/>
      <c r="H222" s="690"/>
      <c r="I222" s="690"/>
      <c r="J222" s="690"/>
      <c r="K222" s="690"/>
      <c r="L222" s="690"/>
      <c r="M222" s="690"/>
      <c r="N222" s="690"/>
      <c r="O222" s="690"/>
      <c r="P222" s="690"/>
      <c r="Q222" s="690"/>
      <c r="R222" s="690"/>
      <c r="S222" s="690"/>
      <c r="T222" s="690"/>
      <c r="U222" s="690"/>
      <c r="V222" s="690"/>
      <c r="W222" s="690"/>
      <c r="X222" s="690"/>
      <c r="Y222" s="690"/>
      <c r="Z222" s="690"/>
      <c r="AA222" s="690"/>
      <c r="AB222" s="690"/>
      <c r="AC222" s="690"/>
      <c r="AD222" s="690"/>
      <c r="AE222" s="690"/>
    </row>
    <row r="223" spans="1:31" ht="15.75" customHeight="1">
      <c r="A223" s="690"/>
      <c r="B223" s="690"/>
      <c r="C223" s="690"/>
      <c r="D223" s="690"/>
      <c r="E223" s="690"/>
      <c r="F223" s="690"/>
      <c r="G223" s="690"/>
      <c r="H223" s="690"/>
      <c r="I223" s="690"/>
      <c r="J223" s="690"/>
      <c r="K223" s="690"/>
      <c r="L223" s="690"/>
      <c r="M223" s="690"/>
      <c r="N223" s="690"/>
      <c r="O223" s="690"/>
      <c r="P223" s="690"/>
      <c r="Q223" s="690"/>
      <c r="R223" s="690"/>
      <c r="S223" s="690"/>
      <c r="T223" s="690"/>
      <c r="U223" s="690"/>
      <c r="V223" s="690"/>
      <c r="W223" s="690"/>
      <c r="X223" s="690"/>
      <c r="Y223" s="690"/>
      <c r="Z223" s="690"/>
      <c r="AA223" s="690"/>
      <c r="AB223" s="690"/>
      <c r="AC223" s="690"/>
      <c r="AD223" s="690"/>
      <c r="AE223" s="690"/>
    </row>
    <row r="224" spans="1:31" ht="15.75" customHeight="1">
      <c r="A224" s="690"/>
      <c r="B224" s="690"/>
      <c r="C224" s="690"/>
      <c r="D224" s="690"/>
      <c r="E224" s="690"/>
      <c r="F224" s="690"/>
      <c r="G224" s="690"/>
      <c r="H224" s="690"/>
      <c r="I224" s="690"/>
      <c r="J224" s="690"/>
      <c r="K224" s="690"/>
      <c r="L224" s="690"/>
      <c r="M224" s="690"/>
      <c r="N224" s="690"/>
      <c r="O224" s="690"/>
      <c r="P224" s="690"/>
      <c r="Q224" s="690"/>
      <c r="R224" s="690"/>
      <c r="S224" s="690"/>
      <c r="T224" s="690"/>
      <c r="U224" s="690"/>
      <c r="V224" s="690"/>
      <c r="W224" s="690"/>
      <c r="X224" s="690"/>
      <c r="Y224" s="690"/>
      <c r="Z224" s="690"/>
      <c r="AA224" s="690"/>
      <c r="AB224" s="690"/>
      <c r="AC224" s="690"/>
      <c r="AD224" s="690"/>
      <c r="AE224" s="690"/>
    </row>
    <row r="225" spans="1:31" ht="15.75" customHeight="1">
      <c r="A225" s="690"/>
      <c r="B225" s="690"/>
      <c r="C225" s="690"/>
      <c r="D225" s="690"/>
      <c r="E225" s="690"/>
      <c r="F225" s="690"/>
      <c r="G225" s="690"/>
      <c r="H225" s="690"/>
      <c r="I225" s="690"/>
      <c r="J225" s="690"/>
      <c r="K225" s="690"/>
      <c r="L225" s="690"/>
      <c r="M225" s="690"/>
      <c r="N225" s="690"/>
      <c r="O225" s="690"/>
      <c r="P225" s="690"/>
      <c r="Q225" s="690"/>
      <c r="R225" s="690"/>
      <c r="S225" s="690"/>
      <c r="T225" s="690"/>
      <c r="U225" s="690"/>
      <c r="V225" s="690"/>
      <c r="W225" s="690"/>
      <c r="X225" s="690"/>
      <c r="Y225" s="690"/>
      <c r="Z225" s="690"/>
      <c r="AA225" s="690"/>
      <c r="AB225" s="690"/>
      <c r="AC225" s="690"/>
      <c r="AD225" s="690"/>
      <c r="AE225" s="690"/>
    </row>
    <row r="226" spans="1:31" ht="15.75" customHeight="1">
      <c r="A226" s="690"/>
      <c r="B226" s="690"/>
      <c r="C226" s="690"/>
      <c r="D226" s="690"/>
      <c r="E226" s="690"/>
      <c r="F226" s="690"/>
      <c r="G226" s="690"/>
      <c r="H226" s="690"/>
      <c r="I226" s="690"/>
      <c r="J226" s="690"/>
      <c r="K226" s="690"/>
      <c r="L226" s="690"/>
      <c r="M226" s="690"/>
      <c r="N226" s="690"/>
      <c r="O226" s="690"/>
      <c r="P226" s="690"/>
      <c r="Q226" s="690"/>
      <c r="R226" s="690"/>
      <c r="S226" s="690"/>
      <c r="T226" s="690"/>
      <c r="U226" s="690"/>
      <c r="V226" s="690"/>
      <c r="W226" s="690"/>
      <c r="X226" s="690"/>
      <c r="Y226" s="690"/>
      <c r="Z226" s="690"/>
      <c r="AA226" s="690"/>
      <c r="AB226" s="690"/>
      <c r="AC226" s="690"/>
      <c r="AD226" s="690"/>
      <c r="AE226" s="690"/>
    </row>
    <row r="227" spans="1:31" ht="15.75" customHeight="1">
      <c r="A227" s="690"/>
      <c r="B227" s="690"/>
      <c r="C227" s="690"/>
      <c r="D227" s="690"/>
      <c r="E227" s="690"/>
      <c r="F227" s="690"/>
      <c r="G227" s="690"/>
      <c r="H227" s="690"/>
      <c r="I227" s="690"/>
      <c r="J227" s="690"/>
      <c r="K227" s="690"/>
      <c r="L227" s="690"/>
      <c r="M227" s="690"/>
      <c r="N227" s="690"/>
      <c r="O227" s="690"/>
      <c r="P227" s="690"/>
      <c r="Q227" s="690"/>
      <c r="R227" s="690"/>
      <c r="S227" s="690"/>
      <c r="T227" s="690"/>
      <c r="U227" s="690"/>
      <c r="V227" s="690"/>
      <c r="W227" s="690"/>
      <c r="X227" s="690"/>
      <c r="Y227" s="690"/>
      <c r="Z227" s="690"/>
      <c r="AA227" s="690"/>
      <c r="AB227" s="690"/>
      <c r="AC227" s="690"/>
      <c r="AD227" s="690"/>
      <c r="AE227" s="690"/>
    </row>
    <row r="228" spans="1:31" ht="15.75" customHeight="1">
      <c r="A228" s="690"/>
      <c r="B228" s="690"/>
      <c r="C228" s="690"/>
      <c r="D228" s="690"/>
      <c r="E228" s="690"/>
      <c r="F228" s="690"/>
      <c r="G228" s="690"/>
      <c r="H228" s="690"/>
      <c r="I228" s="690"/>
      <c r="J228" s="690"/>
      <c r="K228" s="690"/>
      <c r="L228" s="690"/>
      <c r="M228" s="690"/>
      <c r="N228" s="690"/>
      <c r="O228" s="690"/>
      <c r="P228" s="690"/>
      <c r="Q228" s="690"/>
      <c r="R228" s="690"/>
      <c r="S228" s="690"/>
      <c r="T228" s="690"/>
      <c r="U228" s="690"/>
      <c r="V228" s="690"/>
      <c r="W228" s="690"/>
      <c r="X228" s="690"/>
      <c r="Y228" s="690"/>
      <c r="Z228" s="690"/>
      <c r="AA228" s="690"/>
      <c r="AB228" s="690"/>
      <c r="AC228" s="690"/>
      <c r="AD228" s="690"/>
      <c r="AE228" s="690"/>
    </row>
    <row r="229" spans="1:31" ht="15.75" customHeight="1">
      <c r="A229" s="690"/>
      <c r="B229" s="690"/>
      <c r="C229" s="690"/>
      <c r="D229" s="690"/>
      <c r="E229" s="690"/>
      <c r="F229" s="690"/>
      <c r="G229" s="690"/>
      <c r="H229" s="690"/>
      <c r="I229" s="690"/>
      <c r="J229" s="690"/>
      <c r="K229" s="690"/>
      <c r="L229" s="690"/>
      <c r="M229" s="690"/>
      <c r="N229" s="690"/>
      <c r="O229" s="690"/>
      <c r="P229" s="690"/>
      <c r="Q229" s="690"/>
      <c r="R229" s="690"/>
      <c r="S229" s="690"/>
      <c r="T229" s="690"/>
      <c r="U229" s="690"/>
      <c r="V229" s="690"/>
      <c r="W229" s="690"/>
      <c r="X229" s="690"/>
      <c r="Y229" s="690"/>
      <c r="Z229" s="690"/>
      <c r="AA229" s="690"/>
      <c r="AB229" s="690"/>
      <c r="AC229" s="690"/>
      <c r="AD229" s="690"/>
      <c r="AE229" s="690"/>
    </row>
    <row r="230" spans="1:31" ht="15.75" customHeight="1">
      <c r="A230" s="690"/>
      <c r="B230" s="690"/>
      <c r="C230" s="690"/>
      <c r="D230" s="690"/>
      <c r="E230" s="690"/>
      <c r="F230" s="690"/>
      <c r="G230" s="690"/>
      <c r="H230" s="690"/>
      <c r="I230" s="690"/>
      <c r="J230" s="690"/>
      <c r="K230" s="690"/>
      <c r="L230" s="690"/>
      <c r="M230" s="690"/>
      <c r="N230" s="690"/>
      <c r="O230" s="690"/>
      <c r="P230" s="690"/>
      <c r="Q230" s="690"/>
      <c r="R230" s="690"/>
      <c r="S230" s="690"/>
      <c r="T230" s="690"/>
      <c r="U230" s="690"/>
      <c r="V230" s="690"/>
      <c r="W230" s="690"/>
      <c r="X230" s="690"/>
      <c r="Y230" s="690"/>
      <c r="Z230" s="690"/>
      <c r="AA230" s="690"/>
      <c r="AB230" s="690"/>
      <c r="AC230" s="690"/>
      <c r="AD230" s="690"/>
      <c r="AE230" s="690"/>
    </row>
    <row r="231" spans="1:31" ht="15.75" customHeight="1">
      <c r="A231" s="690"/>
      <c r="B231" s="690"/>
      <c r="C231" s="690"/>
      <c r="D231" s="690"/>
      <c r="E231" s="690"/>
      <c r="F231" s="690"/>
      <c r="G231" s="690"/>
      <c r="H231" s="690"/>
      <c r="I231" s="690"/>
      <c r="J231" s="690"/>
      <c r="K231" s="690"/>
      <c r="L231" s="690"/>
      <c r="M231" s="690"/>
      <c r="N231" s="690"/>
      <c r="O231" s="690"/>
      <c r="P231" s="690"/>
      <c r="Q231" s="690"/>
      <c r="R231" s="690"/>
      <c r="S231" s="690"/>
      <c r="T231" s="690"/>
      <c r="U231" s="690"/>
      <c r="V231" s="690"/>
      <c r="W231" s="690"/>
      <c r="X231" s="690"/>
      <c r="Y231" s="690"/>
      <c r="Z231" s="690"/>
      <c r="AA231" s="690"/>
      <c r="AB231" s="690"/>
      <c r="AC231" s="690"/>
      <c r="AD231" s="690"/>
      <c r="AE231" s="690"/>
    </row>
    <row r="232" spans="1:31" ht="15.75" customHeight="1">
      <c r="A232" s="690"/>
      <c r="B232" s="690"/>
      <c r="C232" s="690"/>
      <c r="D232" s="690"/>
      <c r="E232" s="690"/>
      <c r="F232" s="690"/>
      <c r="G232" s="690"/>
      <c r="H232" s="690"/>
      <c r="I232" s="690"/>
      <c r="J232" s="690"/>
      <c r="K232" s="690"/>
      <c r="L232" s="690"/>
      <c r="M232" s="690"/>
      <c r="N232" s="690"/>
      <c r="O232" s="690"/>
      <c r="P232" s="690"/>
      <c r="Q232" s="690"/>
      <c r="R232" s="690"/>
      <c r="S232" s="690"/>
      <c r="T232" s="690"/>
      <c r="U232" s="690"/>
      <c r="V232" s="690"/>
      <c r="W232" s="690"/>
      <c r="X232" s="690"/>
      <c r="Y232" s="690"/>
      <c r="Z232" s="690"/>
      <c r="AA232" s="690"/>
      <c r="AB232" s="690"/>
      <c r="AC232" s="690"/>
      <c r="AD232" s="690"/>
      <c r="AE232" s="690"/>
    </row>
    <row r="233" spans="1:31" ht="15.75" customHeight="1">
      <c r="A233" s="690"/>
      <c r="B233" s="690"/>
      <c r="C233" s="690"/>
      <c r="D233" s="690"/>
      <c r="E233" s="690"/>
      <c r="F233" s="690"/>
      <c r="G233" s="690"/>
      <c r="H233" s="690"/>
      <c r="I233" s="690"/>
      <c r="J233" s="690"/>
      <c r="K233" s="690"/>
      <c r="L233" s="690"/>
      <c r="M233" s="690"/>
      <c r="N233" s="690"/>
      <c r="O233" s="690"/>
      <c r="P233" s="690"/>
      <c r="Q233" s="690"/>
      <c r="R233" s="690"/>
      <c r="S233" s="690"/>
      <c r="T233" s="690"/>
      <c r="U233" s="690"/>
      <c r="V233" s="690"/>
      <c r="W233" s="690"/>
      <c r="X233" s="690"/>
      <c r="Y233" s="690"/>
      <c r="Z233" s="690"/>
      <c r="AA233" s="690"/>
      <c r="AB233" s="690"/>
      <c r="AC233" s="690"/>
      <c r="AD233" s="690"/>
      <c r="AE233" s="690"/>
    </row>
    <row r="234" spans="1:31" ht="15.75" customHeight="1">
      <c r="A234" s="690"/>
      <c r="B234" s="690"/>
      <c r="C234" s="690"/>
      <c r="D234" s="690"/>
      <c r="E234" s="690"/>
      <c r="F234" s="690"/>
      <c r="G234" s="690"/>
      <c r="H234" s="690"/>
      <c r="I234" s="690"/>
      <c r="J234" s="690"/>
      <c r="K234" s="690"/>
      <c r="L234" s="690"/>
      <c r="M234" s="690"/>
      <c r="N234" s="690"/>
      <c r="O234" s="690"/>
      <c r="P234" s="690"/>
      <c r="Q234" s="690"/>
      <c r="R234" s="690"/>
      <c r="S234" s="690"/>
      <c r="T234" s="690"/>
      <c r="U234" s="690"/>
      <c r="V234" s="690"/>
      <c r="W234" s="690"/>
      <c r="X234" s="690"/>
      <c r="Y234" s="690"/>
      <c r="Z234" s="690"/>
      <c r="AA234" s="690"/>
      <c r="AB234" s="690"/>
      <c r="AC234" s="690"/>
      <c r="AD234" s="690"/>
      <c r="AE234" s="690"/>
    </row>
    <row r="235" spans="1:31" ht="15.75" customHeight="1">
      <c r="A235" s="690"/>
      <c r="B235" s="690"/>
      <c r="C235" s="690"/>
      <c r="D235" s="690"/>
      <c r="E235" s="690"/>
      <c r="F235" s="690"/>
      <c r="G235" s="690"/>
      <c r="H235" s="690"/>
      <c r="I235" s="690"/>
      <c r="J235" s="690"/>
      <c r="K235" s="690"/>
      <c r="L235" s="690"/>
      <c r="M235" s="690"/>
      <c r="N235" s="690"/>
      <c r="O235" s="690"/>
      <c r="P235" s="690"/>
      <c r="Q235" s="690"/>
      <c r="R235" s="690"/>
      <c r="S235" s="690"/>
      <c r="T235" s="690"/>
      <c r="U235" s="690"/>
      <c r="V235" s="690"/>
      <c r="W235" s="690"/>
      <c r="X235" s="690"/>
      <c r="Y235" s="690"/>
      <c r="Z235" s="690"/>
      <c r="AA235" s="690"/>
      <c r="AB235" s="690"/>
      <c r="AC235" s="690"/>
      <c r="AD235" s="690"/>
      <c r="AE235" s="690"/>
    </row>
    <row r="236" spans="1:31" ht="15.75" customHeight="1">
      <c r="A236" s="690"/>
      <c r="B236" s="690"/>
      <c r="C236" s="690"/>
      <c r="D236" s="690"/>
      <c r="E236" s="690"/>
      <c r="F236" s="690"/>
      <c r="G236" s="690"/>
      <c r="H236" s="690"/>
      <c r="I236" s="690"/>
      <c r="J236" s="690"/>
      <c r="K236" s="690"/>
      <c r="L236" s="690"/>
      <c r="M236" s="690"/>
      <c r="N236" s="690"/>
      <c r="O236" s="690"/>
      <c r="P236" s="690"/>
      <c r="Q236" s="690"/>
      <c r="R236" s="690"/>
      <c r="S236" s="690"/>
      <c r="T236" s="690"/>
      <c r="U236" s="690"/>
      <c r="V236" s="690"/>
      <c r="W236" s="690"/>
      <c r="X236" s="690"/>
      <c r="Y236" s="690"/>
      <c r="Z236" s="690"/>
      <c r="AA236" s="690"/>
      <c r="AB236" s="690"/>
      <c r="AC236" s="690"/>
      <c r="AD236" s="690"/>
      <c r="AE236" s="690"/>
    </row>
    <row r="237" spans="1:31" ht="15.75" customHeight="1">
      <c r="A237" s="690"/>
      <c r="B237" s="690"/>
      <c r="C237" s="690"/>
      <c r="D237" s="690"/>
      <c r="E237" s="690"/>
      <c r="F237" s="690"/>
      <c r="G237" s="690"/>
      <c r="H237" s="690"/>
      <c r="I237" s="690"/>
      <c r="J237" s="690"/>
      <c r="K237" s="690"/>
      <c r="L237" s="690"/>
      <c r="M237" s="690"/>
      <c r="N237" s="690"/>
      <c r="O237" s="690"/>
      <c r="P237" s="690"/>
      <c r="Q237" s="690"/>
      <c r="R237" s="690"/>
      <c r="S237" s="690"/>
      <c r="T237" s="690"/>
      <c r="U237" s="690"/>
      <c r="V237" s="690"/>
      <c r="W237" s="690"/>
      <c r="X237" s="690"/>
      <c r="Y237" s="690"/>
      <c r="Z237" s="690"/>
      <c r="AA237" s="690"/>
      <c r="AB237" s="690"/>
      <c r="AC237" s="690"/>
      <c r="AD237" s="690"/>
      <c r="AE237" s="690"/>
    </row>
    <row r="238" spans="1:31" ht="15.75" customHeight="1">
      <c r="A238" s="690"/>
      <c r="B238" s="690"/>
      <c r="C238" s="690"/>
      <c r="D238" s="690"/>
      <c r="E238" s="690"/>
      <c r="F238" s="690"/>
      <c r="G238" s="690"/>
      <c r="H238" s="690"/>
      <c r="I238" s="690"/>
      <c r="J238" s="690"/>
      <c r="K238" s="690"/>
      <c r="L238" s="690"/>
      <c r="M238" s="690"/>
      <c r="N238" s="690"/>
      <c r="O238" s="690"/>
      <c r="P238" s="690"/>
      <c r="Q238" s="690"/>
      <c r="R238" s="690"/>
      <c r="S238" s="690"/>
      <c r="T238" s="690"/>
      <c r="U238" s="690"/>
      <c r="V238" s="690"/>
      <c r="W238" s="690"/>
      <c r="X238" s="690"/>
      <c r="Y238" s="690"/>
      <c r="Z238" s="690"/>
      <c r="AA238" s="690"/>
      <c r="AB238" s="690"/>
      <c r="AC238" s="690"/>
      <c r="AD238" s="690"/>
      <c r="AE238" s="690"/>
    </row>
    <row r="239" spans="1:31" ht="15.75" customHeight="1">
      <c r="A239" s="690"/>
      <c r="B239" s="690"/>
      <c r="C239" s="690"/>
      <c r="D239" s="690"/>
      <c r="E239" s="690"/>
      <c r="F239" s="690"/>
      <c r="G239" s="690"/>
      <c r="H239" s="690"/>
      <c r="I239" s="690"/>
      <c r="J239" s="690"/>
      <c r="K239" s="690"/>
      <c r="L239" s="690"/>
      <c r="M239" s="690"/>
      <c r="N239" s="690"/>
      <c r="O239" s="690"/>
      <c r="P239" s="690"/>
      <c r="Q239" s="690"/>
      <c r="R239" s="690"/>
      <c r="S239" s="690"/>
      <c r="T239" s="690"/>
      <c r="U239" s="690"/>
      <c r="V239" s="690"/>
      <c r="W239" s="690"/>
      <c r="X239" s="690"/>
      <c r="Y239" s="690"/>
      <c r="Z239" s="690"/>
      <c r="AA239" s="690"/>
      <c r="AB239" s="690"/>
      <c r="AC239" s="690"/>
      <c r="AD239" s="690"/>
      <c r="AE239" s="690"/>
    </row>
    <row r="240" spans="1:31" ht="15.75" customHeight="1">
      <c r="A240" s="690"/>
      <c r="B240" s="690"/>
      <c r="C240" s="690"/>
      <c r="D240" s="690"/>
      <c r="E240" s="690"/>
      <c r="F240" s="690"/>
      <c r="G240" s="690"/>
      <c r="H240" s="690"/>
      <c r="I240" s="690"/>
      <c r="J240" s="690"/>
      <c r="K240" s="690"/>
      <c r="L240" s="690"/>
      <c r="M240" s="690"/>
      <c r="N240" s="690"/>
      <c r="O240" s="690"/>
      <c r="P240" s="690"/>
      <c r="Q240" s="690"/>
      <c r="R240" s="690"/>
      <c r="S240" s="690"/>
      <c r="T240" s="690"/>
      <c r="U240" s="690"/>
      <c r="V240" s="690"/>
      <c r="W240" s="690"/>
      <c r="X240" s="690"/>
      <c r="Y240" s="690"/>
      <c r="Z240" s="690"/>
      <c r="AA240" s="690"/>
      <c r="AB240" s="690"/>
      <c r="AC240" s="690"/>
      <c r="AD240" s="690"/>
      <c r="AE240" s="690"/>
    </row>
    <row r="241" spans="1:31" ht="15.75" customHeight="1">
      <c r="A241" s="690"/>
      <c r="B241" s="690"/>
      <c r="C241" s="690"/>
      <c r="D241" s="690"/>
      <c r="E241" s="690"/>
      <c r="F241" s="690"/>
      <c r="G241" s="690"/>
      <c r="H241" s="690"/>
      <c r="I241" s="690"/>
      <c r="J241" s="690"/>
      <c r="K241" s="690"/>
      <c r="L241" s="690"/>
      <c r="M241" s="690"/>
      <c r="N241" s="690"/>
      <c r="O241" s="690"/>
      <c r="P241" s="690"/>
      <c r="Q241" s="690"/>
      <c r="R241" s="690"/>
      <c r="S241" s="690"/>
      <c r="T241" s="690"/>
      <c r="U241" s="690"/>
      <c r="V241" s="690"/>
      <c r="W241" s="690"/>
      <c r="X241" s="690"/>
      <c r="Y241" s="690"/>
      <c r="Z241" s="690"/>
      <c r="AA241" s="690"/>
      <c r="AB241" s="690"/>
      <c r="AC241" s="690"/>
      <c r="AD241" s="690"/>
      <c r="AE241" s="690"/>
    </row>
    <row r="242" spans="1:31" ht="15.75" customHeight="1">
      <c r="A242" s="690"/>
      <c r="B242" s="690"/>
      <c r="C242" s="690"/>
      <c r="D242" s="690"/>
      <c r="E242" s="690"/>
      <c r="F242" s="690"/>
      <c r="G242" s="690"/>
      <c r="H242" s="690"/>
      <c r="I242" s="690"/>
      <c r="J242" s="690"/>
      <c r="K242" s="690"/>
      <c r="L242" s="690"/>
      <c r="M242" s="690"/>
      <c r="N242" s="690"/>
      <c r="O242" s="690"/>
      <c r="P242" s="690"/>
      <c r="Q242" s="690"/>
      <c r="R242" s="690"/>
      <c r="S242" s="690"/>
      <c r="T242" s="690"/>
      <c r="U242" s="690"/>
      <c r="V242" s="690"/>
      <c r="W242" s="690"/>
      <c r="X242" s="690"/>
      <c r="Y242" s="690"/>
      <c r="Z242" s="690"/>
      <c r="AA242" s="690"/>
      <c r="AB242" s="690"/>
      <c r="AC242" s="690"/>
      <c r="AD242" s="690"/>
      <c r="AE242" s="690"/>
    </row>
    <row r="243" spans="1:31" ht="15.75" customHeight="1">
      <c r="A243" s="690"/>
      <c r="B243" s="690"/>
      <c r="C243" s="690"/>
      <c r="D243" s="690"/>
      <c r="E243" s="690"/>
      <c r="F243" s="690"/>
      <c r="G243" s="690"/>
      <c r="H243" s="690"/>
      <c r="I243" s="690"/>
      <c r="J243" s="690"/>
      <c r="K243" s="690"/>
      <c r="L243" s="690"/>
      <c r="M243" s="690"/>
      <c r="N243" s="690"/>
      <c r="O243" s="690"/>
      <c r="P243" s="690"/>
      <c r="Q243" s="690"/>
      <c r="R243" s="690"/>
      <c r="S243" s="690"/>
      <c r="T243" s="690"/>
      <c r="U243" s="690"/>
      <c r="V243" s="690"/>
      <c r="W243" s="690"/>
      <c r="X243" s="690"/>
      <c r="Y243" s="690"/>
      <c r="Z243" s="690"/>
      <c r="AA243" s="690"/>
      <c r="AB243" s="690"/>
      <c r="AC243" s="690"/>
      <c r="AD243" s="690"/>
      <c r="AE243" s="690"/>
    </row>
    <row r="244" spans="1:31" ht="15.75" customHeight="1">
      <c r="A244" s="690"/>
      <c r="B244" s="690"/>
      <c r="C244" s="690"/>
      <c r="D244" s="690"/>
      <c r="E244" s="690"/>
      <c r="F244" s="690"/>
      <c r="G244" s="690"/>
      <c r="H244" s="690"/>
      <c r="I244" s="690"/>
      <c r="J244" s="690"/>
      <c r="K244" s="690"/>
      <c r="L244" s="690"/>
      <c r="M244" s="690"/>
      <c r="N244" s="690"/>
      <c r="O244" s="690"/>
      <c r="P244" s="690"/>
      <c r="Q244" s="690"/>
      <c r="R244" s="690"/>
      <c r="S244" s="690"/>
      <c r="T244" s="690"/>
      <c r="U244" s="690"/>
      <c r="V244" s="690"/>
      <c r="W244" s="690"/>
      <c r="X244" s="690"/>
      <c r="Y244" s="690"/>
      <c r="Z244" s="690"/>
      <c r="AA244" s="690"/>
      <c r="AB244" s="690"/>
      <c r="AC244" s="690"/>
      <c r="AD244" s="690"/>
      <c r="AE244" s="690"/>
    </row>
    <row r="245" spans="1:31" ht="15.75" customHeight="1">
      <c r="A245" s="690"/>
      <c r="B245" s="690"/>
      <c r="C245" s="690"/>
      <c r="D245" s="690"/>
      <c r="E245" s="690"/>
      <c r="F245" s="690"/>
      <c r="G245" s="690"/>
      <c r="H245" s="690"/>
      <c r="I245" s="690"/>
      <c r="J245" s="690"/>
      <c r="K245" s="690"/>
      <c r="L245" s="690"/>
      <c r="M245" s="690"/>
      <c r="N245" s="690"/>
      <c r="O245" s="690"/>
      <c r="P245" s="690"/>
      <c r="Q245" s="690"/>
      <c r="R245" s="690"/>
      <c r="S245" s="690"/>
      <c r="T245" s="690"/>
      <c r="U245" s="690"/>
      <c r="V245" s="690"/>
      <c r="W245" s="690"/>
      <c r="X245" s="690"/>
      <c r="Y245" s="690"/>
      <c r="Z245" s="690"/>
      <c r="AA245" s="690"/>
      <c r="AB245" s="690"/>
      <c r="AC245" s="690"/>
      <c r="AD245" s="690"/>
      <c r="AE245" s="690"/>
    </row>
    <row r="246" spans="1:31" ht="15.75" customHeight="1">
      <c r="A246" s="690"/>
      <c r="B246" s="690"/>
      <c r="C246" s="690"/>
      <c r="D246" s="690"/>
      <c r="E246" s="690"/>
      <c r="F246" s="690"/>
      <c r="G246" s="690"/>
      <c r="H246" s="690"/>
      <c r="I246" s="690"/>
      <c r="J246" s="690"/>
      <c r="K246" s="690"/>
      <c r="L246" s="690"/>
      <c r="M246" s="690"/>
      <c r="N246" s="690"/>
      <c r="O246" s="690"/>
      <c r="P246" s="690"/>
      <c r="Q246" s="690"/>
      <c r="R246" s="690"/>
      <c r="S246" s="690"/>
      <c r="T246" s="690"/>
      <c r="U246" s="690"/>
      <c r="V246" s="690"/>
      <c r="W246" s="690"/>
      <c r="X246" s="690"/>
      <c r="Y246" s="690"/>
      <c r="Z246" s="690"/>
      <c r="AA246" s="690"/>
      <c r="AB246" s="690"/>
      <c r="AC246" s="690"/>
      <c r="AD246" s="690"/>
      <c r="AE246" s="690"/>
    </row>
    <row r="247" spans="1:31" ht="15.75" customHeight="1">
      <c r="A247" s="690"/>
      <c r="B247" s="690"/>
      <c r="C247" s="690"/>
      <c r="D247" s="690"/>
      <c r="E247" s="690"/>
      <c r="F247" s="690"/>
      <c r="G247" s="690"/>
      <c r="H247" s="690"/>
      <c r="I247" s="690"/>
      <c r="J247" s="690"/>
      <c r="K247" s="690"/>
      <c r="L247" s="690"/>
      <c r="M247" s="690"/>
      <c r="N247" s="690"/>
      <c r="O247" s="690"/>
      <c r="P247" s="690"/>
      <c r="Q247" s="690"/>
      <c r="R247" s="690"/>
      <c r="S247" s="690"/>
      <c r="T247" s="690"/>
      <c r="U247" s="690"/>
      <c r="V247" s="690"/>
      <c r="W247" s="690"/>
      <c r="X247" s="690"/>
      <c r="Y247" s="690"/>
      <c r="Z247" s="690"/>
      <c r="AA247" s="690"/>
      <c r="AB247" s="690"/>
      <c r="AC247" s="690"/>
      <c r="AD247" s="690"/>
      <c r="AE247" s="690"/>
    </row>
    <row r="248" spans="1:31" ht="15.75" customHeight="1">
      <c r="A248" s="690"/>
      <c r="B248" s="690"/>
      <c r="C248" s="690"/>
      <c r="D248" s="690"/>
      <c r="E248" s="690"/>
      <c r="F248" s="690"/>
      <c r="G248" s="690"/>
      <c r="H248" s="690"/>
      <c r="I248" s="690"/>
      <c r="J248" s="690"/>
      <c r="K248" s="690"/>
      <c r="L248" s="690"/>
      <c r="M248" s="690"/>
      <c r="N248" s="690"/>
      <c r="O248" s="690"/>
      <c r="P248" s="690"/>
      <c r="Q248" s="690"/>
      <c r="R248" s="690"/>
      <c r="S248" s="690"/>
      <c r="T248" s="690"/>
      <c r="U248" s="690"/>
      <c r="V248" s="690"/>
      <c r="W248" s="690"/>
      <c r="X248" s="690"/>
      <c r="Y248" s="690"/>
      <c r="Z248" s="690"/>
      <c r="AA248" s="690"/>
      <c r="AB248" s="690"/>
      <c r="AC248" s="690"/>
      <c r="AD248" s="690"/>
      <c r="AE248" s="690"/>
    </row>
    <row r="249" spans="1:31" ht="15.75" customHeight="1">
      <c r="A249" s="690"/>
      <c r="B249" s="690"/>
      <c r="C249" s="690"/>
      <c r="D249" s="690"/>
      <c r="E249" s="690"/>
      <c r="F249" s="690"/>
      <c r="G249" s="690"/>
      <c r="H249" s="690"/>
      <c r="I249" s="690"/>
      <c r="J249" s="690"/>
      <c r="K249" s="690"/>
      <c r="L249" s="690"/>
      <c r="M249" s="690"/>
      <c r="N249" s="690"/>
      <c r="O249" s="690"/>
      <c r="P249" s="690"/>
      <c r="Q249" s="690"/>
      <c r="R249" s="690"/>
      <c r="S249" s="690"/>
      <c r="T249" s="690"/>
      <c r="U249" s="690"/>
      <c r="V249" s="690"/>
      <c r="W249" s="690"/>
      <c r="X249" s="690"/>
      <c r="Y249" s="690"/>
      <c r="Z249" s="690"/>
      <c r="AA249" s="690"/>
      <c r="AB249" s="690"/>
      <c r="AC249" s="690"/>
      <c r="AD249" s="690"/>
      <c r="AE249" s="690"/>
    </row>
    <row r="250" spans="1:31" ht="15.75" customHeight="1">
      <c r="A250" s="690"/>
      <c r="B250" s="690"/>
      <c r="C250" s="690"/>
      <c r="D250" s="690"/>
      <c r="E250" s="690"/>
      <c r="F250" s="690"/>
      <c r="G250" s="690"/>
      <c r="H250" s="690"/>
      <c r="I250" s="690"/>
      <c r="J250" s="690"/>
      <c r="K250" s="690"/>
      <c r="L250" s="690"/>
      <c r="M250" s="690"/>
      <c r="N250" s="690"/>
      <c r="O250" s="690"/>
      <c r="P250" s="690"/>
      <c r="Q250" s="690"/>
      <c r="R250" s="690"/>
      <c r="S250" s="690"/>
      <c r="T250" s="690"/>
      <c r="U250" s="690"/>
      <c r="V250" s="690"/>
      <c r="W250" s="690"/>
      <c r="X250" s="690"/>
      <c r="Y250" s="690"/>
      <c r="Z250" s="690"/>
      <c r="AA250" s="690"/>
      <c r="AB250" s="690"/>
      <c r="AC250" s="690"/>
      <c r="AD250" s="690"/>
      <c r="AE250" s="690"/>
    </row>
    <row r="251" spans="1:31" ht="15.75" customHeight="1">
      <c r="A251" s="690"/>
      <c r="B251" s="690"/>
      <c r="C251" s="690"/>
      <c r="D251" s="690"/>
      <c r="E251" s="690"/>
      <c r="F251" s="690"/>
      <c r="G251" s="690"/>
      <c r="H251" s="690"/>
      <c r="I251" s="690"/>
      <c r="J251" s="690"/>
      <c r="K251" s="690"/>
      <c r="L251" s="690"/>
      <c r="M251" s="690"/>
      <c r="N251" s="690"/>
      <c r="O251" s="690"/>
      <c r="P251" s="690"/>
      <c r="Q251" s="690"/>
      <c r="R251" s="690"/>
      <c r="S251" s="690"/>
      <c r="T251" s="690"/>
      <c r="U251" s="690"/>
      <c r="V251" s="690"/>
      <c r="W251" s="690"/>
      <c r="X251" s="690"/>
      <c r="Y251" s="690"/>
      <c r="Z251" s="690"/>
      <c r="AA251" s="690"/>
      <c r="AB251" s="690"/>
      <c r="AC251" s="690"/>
      <c r="AD251" s="690"/>
      <c r="AE251" s="690"/>
    </row>
    <row r="252" spans="1:31" ht="15.75" customHeight="1">
      <c r="A252" s="690"/>
      <c r="B252" s="690"/>
      <c r="C252" s="690"/>
      <c r="D252" s="690"/>
      <c r="E252" s="690"/>
      <c r="F252" s="690"/>
      <c r="G252" s="690"/>
      <c r="H252" s="690"/>
      <c r="I252" s="690"/>
      <c r="J252" s="690"/>
      <c r="K252" s="690"/>
      <c r="L252" s="690"/>
      <c r="M252" s="690"/>
      <c r="N252" s="690"/>
      <c r="O252" s="690"/>
      <c r="P252" s="690"/>
      <c r="Q252" s="690"/>
      <c r="R252" s="690"/>
      <c r="S252" s="690"/>
      <c r="T252" s="690"/>
      <c r="U252" s="690"/>
      <c r="V252" s="690"/>
      <c r="W252" s="690"/>
      <c r="X252" s="690"/>
      <c r="Y252" s="690"/>
      <c r="Z252" s="690"/>
      <c r="AA252" s="690"/>
      <c r="AB252" s="690"/>
      <c r="AC252" s="690"/>
      <c r="AD252" s="690"/>
      <c r="AE252" s="690"/>
    </row>
    <row r="253" spans="1:31" ht="15.75" customHeight="1">
      <c r="A253" s="690"/>
      <c r="B253" s="690"/>
      <c r="C253" s="690"/>
      <c r="D253" s="690"/>
      <c r="E253" s="690"/>
      <c r="F253" s="690"/>
      <c r="G253" s="690"/>
      <c r="H253" s="690"/>
      <c r="I253" s="690"/>
      <c r="J253" s="690"/>
      <c r="K253" s="690"/>
      <c r="L253" s="690"/>
      <c r="M253" s="690"/>
      <c r="N253" s="690"/>
      <c r="O253" s="690"/>
      <c r="P253" s="690"/>
      <c r="Q253" s="690"/>
      <c r="R253" s="690"/>
      <c r="S253" s="690"/>
      <c r="T253" s="690"/>
      <c r="U253" s="690"/>
      <c r="V253" s="690"/>
      <c r="W253" s="690"/>
      <c r="X253" s="690"/>
      <c r="Y253" s="690"/>
      <c r="Z253" s="690"/>
      <c r="AA253" s="690"/>
      <c r="AB253" s="690"/>
      <c r="AC253" s="690"/>
      <c r="AD253" s="690"/>
      <c r="AE253" s="690"/>
    </row>
    <row r="254" spans="1:31" ht="15.75" customHeight="1">
      <c r="A254" s="690"/>
      <c r="B254" s="690"/>
      <c r="C254" s="690"/>
      <c r="D254" s="690"/>
      <c r="E254" s="690"/>
      <c r="F254" s="690"/>
      <c r="G254" s="690"/>
      <c r="H254" s="690"/>
      <c r="I254" s="690"/>
      <c r="J254" s="690"/>
      <c r="K254" s="690"/>
      <c r="L254" s="690"/>
      <c r="M254" s="690"/>
      <c r="N254" s="690"/>
      <c r="O254" s="690"/>
      <c r="P254" s="690"/>
      <c r="Q254" s="690"/>
      <c r="R254" s="690"/>
      <c r="S254" s="690"/>
      <c r="T254" s="690"/>
      <c r="U254" s="690"/>
      <c r="V254" s="690"/>
      <c r="W254" s="690"/>
      <c r="X254" s="690"/>
      <c r="Y254" s="690"/>
      <c r="Z254" s="690"/>
      <c r="AA254" s="690"/>
      <c r="AB254" s="690"/>
      <c r="AC254" s="690"/>
      <c r="AD254" s="690"/>
      <c r="AE254" s="690"/>
    </row>
    <row r="255" spans="1:31" ht="15.75" customHeight="1">
      <c r="A255" s="690"/>
      <c r="B255" s="690"/>
      <c r="C255" s="690"/>
      <c r="D255" s="690"/>
      <c r="E255" s="690"/>
      <c r="F255" s="690"/>
      <c r="G255" s="690"/>
      <c r="H255" s="690"/>
      <c r="I255" s="690"/>
      <c r="J255" s="690"/>
      <c r="K255" s="690"/>
      <c r="L255" s="690"/>
      <c r="M255" s="690"/>
      <c r="N255" s="690"/>
      <c r="O255" s="690"/>
      <c r="P255" s="690"/>
      <c r="Q255" s="690"/>
      <c r="R255" s="690"/>
      <c r="S255" s="690"/>
      <c r="T255" s="690"/>
      <c r="U255" s="690"/>
      <c r="V255" s="690"/>
      <c r="W255" s="690"/>
      <c r="X255" s="690"/>
      <c r="Y255" s="690"/>
      <c r="Z255" s="690"/>
      <c r="AA255" s="690"/>
      <c r="AB255" s="690"/>
      <c r="AC255" s="690"/>
      <c r="AD255" s="690"/>
      <c r="AE255" s="690"/>
    </row>
    <row r="256" spans="1:31" ht="15.75" customHeight="1">
      <c r="A256" s="690"/>
      <c r="B256" s="690"/>
      <c r="C256" s="690"/>
      <c r="D256" s="690"/>
      <c r="E256" s="690"/>
      <c r="F256" s="690"/>
      <c r="G256" s="690"/>
      <c r="H256" s="690"/>
      <c r="I256" s="690"/>
      <c r="J256" s="690"/>
      <c r="K256" s="690"/>
      <c r="L256" s="690"/>
      <c r="M256" s="690"/>
      <c r="N256" s="690"/>
      <c r="O256" s="690"/>
      <c r="P256" s="690"/>
      <c r="Q256" s="690"/>
      <c r="R256" s="690"/>
      <c r="S256" s="690"/>
      <c r="T256" s="690"/>
      <c r="U256" s="690"/>
      <c r="V256" s="690"/>
      <c r="W256" s="690"/>
      <c r="X256" s="690"/>
      <c r="Y256" s="690"/>
      <c r="Z256" s="690"/>
      <c r="AA256" s="690"/>
      <c r="AB256" s="690"/>
      <c r="AC256" s="690"/>
      <c r="AD256" s="690"/>
      <c r="AE256" s="690"/>
    </row>
    <row r="257" spans="1:31" ht="15.75" customHeight="1">
      <c r="A257" s="690"/>
      <c r="B257" s="690"/>
      <c r="C257" s="690"/>
      <c r="D257" s="690"/>
      <c r="E257" s="690"/>
      <c r="F257" s="690"/>
      <c r="G257" s="690"/>
      <c r="H257" s="690"/>
      <c r="I257" s="690"/>
      <c r="J257" s="690"/>
      <c r="K257" s="690"/>
      <c r="L257" s="690"/>
      <c r="M257" s="690"/>
      <c r="N257" s="690"/>
      <c r="O257" s="690"/>
      <c r="P257" s="690"/>
      <c r="Q257" s="690"/>
      <c r="R257" s="690"/>
      <c r="S257" s="690"/>
      <c r="T257" s="690"/>
      <c r="U257" s="690"/>
      <c r="V257" s="690"/>
      <c r="W257" s="690"/>
      <c r="X257" s="690"/>
      <c r="Y257" s="690"/>
      <c r="Z257" s="690"/>
      <c r="AA257" s="690"/>
      <c r="AB257" s="690"/>
      <c r="AC257" s="690"/>
      <c r="AD257" s="690"/>
      <c r="AE257" s="690"/>
    </row>
    <row r="258" spans="1:31" ht="15.75" customHeight="1">
      <c r="A258" s="690"/>
      <c r="B258" s="690"/>
      <c r="C258" s="690"/>
      <c r="D258" s="690"/>
      <c r="E258" s="690"/>
      <c r="F258" s="690"/>
      <c r="G258" s="690"/>
      <c r="H258" s="690"/>
      <c r="I258" s="690"/>
      <c r="J258" s="690"/>
      <c r="K258" s="690"/>
      <c r="L258" s="690"/>
      <c r="M258" s="690"/>
      <c r="N258" s="690"/>
      <c r="O258" s="690"/>
      <c r="P258" s="690"/>
      <c r="Q258" s="690"/>
      <c r="R258" s="690"/>
      <c r="S258" s="690"/>
      <c r="T258" s="690"/>
      <c r="U258" s="690"/>
      <c r="V258" s="690"/>
      <c r="W258" s="690"/>
      <c r="X258" s="690"/>
      <c r="Y258" s="690"/>
      <c r="Z258" s="690"/>
      <c r="AA258" s="690"/>
      <c r="AB258" s="690"/>
      <c r="AC258" s="690"/>
      <c r="AD258" s="690"/>
      <c r="AE258" s="690"/>
    </row>
    <row r="259" spans="1:31" ht="15.75" customHeight="1">
      <c r="A259" s="690"/>
      <c r="B259" s="690"/>
      <c r="C259" s="690"/>
      <c r="D259" s="690"/>
      <c r="E259" s="690"/>
      <c r="F259" s="690"/>
      <c r="G259" s="690"/>
      <c r="H259" s="690"/>
      <c r="I259" s="690"/>
      <c r="J259" s="690"/>
      <c r="K259" s="690"/>
      <c r="L259" s="690"/>
      <c r="M259" s="690"/>
      <c r="N259" s="690"/>
      <c r="O259" s="690"/>
      <c r="P259" s="690"/>
      <c r="Q259" s="690"/>
      <c r="R259" s="690"/>
      <c r="S259" s="690"/>
      <c r="T259" s="690"/>
      <c r="U259" s="690"/>
      <c r="V259" s="690"/>
      <c r="W259" s="690"/>
      <c r="X259" s="690"/>
      <c r="Y259" s="690"/>
      <c r="Z259" s="690"/>
      <c r="AA259" s="690"/>
      <c r="AB259" s="690"/>
      <c r="AC259" s="690"/>
      <c r="AD259" s="690"/>
      <c r="AE259" s="690"/>
    </row>
    <row r="260" spans="1:31" ht="15.75" customHeight="1">
      <c r="A260" s="690"/>
      <c r="B260" s="690"/>
      <c r="C260" s="690"/>
      <c r="D260" s="690"/>
      <c r="E260" s="690"/>
      <c r="F260" s="690"/>
      <c r="G260" s="690"/>
      <c r="H260" s="690"/>
      <c r="I260" s="690"/>
      <c r="J260" s="690"/>
      <c r="K260" s="690"/>
      <c r="L260" s="690"/>
      <c r="M260" s="690"/>
      <c r="N260" s="690"/>
      <c r="O260" s="690"/>
      <c r="P260" s="690"/>
      <c r="Q260" s="690"/>
      <c r="R260" s="690"/>
      <c r="S260" s="690"/>
      <c r="T260" s="690"/>
      <c r="U260" s="690"/>
      <c r="V260" s="690"/>
      <c r="W260" s="690"/>
      <c r="X260" s="690"/>
      <c r="Y260" s="690"/>
      <c r="Z260" s="690"/>
      <c r="AA260" s="690"/>
      <c r="AB260" s="690"/>
      <c r="AC260" s="690"/>
      <c r="AD260" s="690"/>
      <c r="AE260" s="690"/>
    </row>
    <row r="261" spans="1:31" ht="15.75" customHeight="1">
      <c r="A261" s="690"/>
      <c r="B261" s="690"/>
      <c r="C261" s="690"/>
      <c r="D261" s="690"/>
      <c r="E261" s="690"/>
      <c r="F261" s="690"/>
      <c r="G261" s="690"/>
      <c r="H261" s="690"/>
      <c r="I261" s="690"/>
      <c r="J261" s="690"/>
      <c r="K261" s="690"/>
      <c r="L261" s="690"/>
      <c r="M261" s="690"/>
      <c r="N261" s="690"/>
      <c r="O261" s="690"/>
      <c r="P261" s="690"/>
      <c r="Q261" s="690"/>
      <c r="R261" s="690"/>
      <c r="S261" s="690"/>
      <c r="T261" s="690"/>
      <c r="U261" s="690"/>
      <c r="V261" s="690"/>
      <c r="W261" s="690"/>
      <c r="X261" s="690"/>
      <c r="Y261" s="690"/>
      <c r="Z261" s="690"/>
      <c r="AA261" s="690"/>
      <c r="AB261" s="690"/>
      <c r="AC261" s="690"/>
      <c r="AD261" s="690"/>
      <c r="AE261" s="690"/>
    </row>
    <row r="262" spans="1:31" ht="15.75" customHeight="1">
      <c r="A262" s="690"/>
      <c r="B262" s="690"/>
      <c r="C262" s="690"/>
      <c r="D262" s="690"/>
      <c r="E262" s="690"/>
      <c r="F262" s="690"/>
      <c r="G262" s="690"/>
      <c r="H262" s="690"/>
      <c r="I262" s="690"/>
      <c r="J262" s="690"/>
      <c r="K262" s="690"/>
      <c r="L262" s="690"/>
      <c r="M262" s="690"/>
      <c r="N262" s="690"/>
      <c r="O262" s="690"/>
      <c r="P262" s="690"/>
      <c r="Q262" s="690"/>
      <c r="R262" s="690"/>
      <c r="S262" s="690"/>
      <c r="T262" s="690"/>
      <c r="U262" s="690"/>
      <c r="V262" s="690"/>
      <c r="W262" s="690"/>
      <c r="X262" s="690"/>
      <c r="Y262" s="690"/>
      <c r="Z262" s="690"/>
      <c r="AA262" s="690"/>
      <c r="AB262" s="690"/>
      <c r="AC262" s="690"/>
      <c r="AD262" s="690"/>
      <c r="AE262" s="690"/>
    </row>
    <row r="263" spans="1:31" ht="15.75" customHeight="1">
      <c r="A263" s="690"/>
      <c r="B263" s="690"/>
      <c r="C263" s="690"/>
      <c r="D263" s="690"/>
      <c r="E263" s="690"/>
      <c r="F263" s="690"/>
      <c r="G263" s="690"/>
      <c r="H263" s="690"/>
      <c r="I263" s="690"/>
      <c r="J263" s="690"/>
      <c r="K263" s="690"/>
      <c r="L263" s="690"/>
      <c r="M263" s="690"/>
      <c r="N263" s="690"/>
      <c r="O263" s="690"/>
      <c r="P263" s="690"/>
      <c r="Q263" s="690"/>
      <c r="R263" s="690"/>
      <c r="S263" s="690"/>
      <c r="T263" s="690"/>
      <c r="U263" s="690"/>
      <c r="V263" s="690"/>
      <c r="W263" s="690"/>
      <c r="X263" s="690"/>
      <c r="Y263" s="690"/>
      <c r="Z263" s="690"/>
      <c r="AA263" s="690"/>
      <c r="AB263" s="690"/>
      <c r="AC263" s="690"/>
      <c r="AD263" s="690"/>
      <c r="AE263" s="690"/>
    </row>
    <row r="264" spans="1:31" ht="15.75" customHeight="1">
      <c r="A264" s="690"/>
      <c r="B264" s="690"/>
      <c r="C264" s="690"/>
      <c r="D264" s="690"/>
      <c r="E264" s="690"/>
      <c r="F264" s="690"/>
      <c r="G264" s="690"/>
      <c r="H264" s="690"/>
      <c r="I264" s="690"/>
      <c r="J264" s="690"/>
      <c r="K264" s="690"/>
      <c r="L264" s="690"/>
      <c r="M264" s="690"/>
      <c r="N264" s="690"/>
      <c r="O264" s="690"/>
      <c r="P264" s="690"/>
      <c r="Q264" s="690"/>
      <c r="R264" s="690"/>
      <c r="S264" s="690"/>
      <c r="T264" s="690"/>
      <c r="U264" s="690"/>
      <c r="V264" s="690"/>
      <c r="W264" s="690"/>
      <c r="X264" s="690"/>
      <c r="Y264" s="690"/>
      <c r="Z264" s="690"/>
      <c r="AA264" s="690"/>
      <c r="AB264" s="690"/>
      <c r="AC264" s="690"/>
      <c r="AD264" s="690"/>
      <c r="AE264" s="690"/>
    </row>
    <row r="265" spans="1:31" ht="15.75" customHeight="1">
      <c r="A265" s="690"/>
      <c r="B265" s="690"/>
      <c r="C265" s="690"/>
      <c r="D265" s="690"/>
      <c r="E265" s="690"/>
      <c r="F265" s="690"/>
      <c r="G265" s="690"/>
      <c r="H265" s="690"/>
      <c r="I265" s="690"/>
      <c r="J265" s="690"/>
      <c r="K265" s="690"/>
      <c r="L265" s="690"/>
      <c r="M265" s="690"/>
      <c r="N265" s="690"/>
      <c r="O265" s="690"/>
      <c r="P265" s="690"/>
      <c r="Q265" s="690"/>
      <c r="R265" s="690"/>
      <c r="S265" s="690"/>
      <c r="T265" s="690"/>
      <c r="U265" s="690"/>
      <c r="V265" s="690"/>
      <c r="W265" s="690"/>
      <c r="X265" s="690"/>
      <c r="Y265" s="690"/>
      <c r="Z265" s="690"/>
      <c r="AA265" s="690"/>
      <c r="AB265" s="690"/>
      <c r="AC265" s="690"/>
      <c r="AD265" s="690"/>
      <c r="AE265" s="690"/>
    </row>
    <row r="266" spans="1:31" ht="15.75" customHeight="1">
      <c r="A266" s="690"/>
      <c r="B266" s="690"/>
      <c r="C266" s="690"/>
      <c r="D266" s="690"/>
      <c r="E266" s="690"/>
      <c r="F266" s="690"/>
      <c r="G266" s="690"/>
      <c r="H266" s="690"/>
      <c r="I266" s="690"/>
      <c r="J266" s="690"/>
      <c r="K266" s="690"/>
      <c r="L266" s="690"/>
      <c r="M266" s="690"/>
      <c r="N266" s="690"/>
      <c r="O266" s="690"/>
      <c r="P266" s="690"/>
      <c r="Q266" s="690"/>
      <c r="R266" s="690"/>
      <c r="S266" s="690"/>
      <c r="T266" s="690"/>
      <c r="U266" s="690"/>
      <c r="V266" s="690"/>
      <c r="W266" s="690"/>
      <c r="X266" s="690"/>
      <c r="Y266" s="690"/>
      <c r="Z266" s="690"/>
      <c r="AA266" s="690"/>
      <c r="AB266" s="690"/>
      <c r="AC266" s="690"/>
      <c r="AD266" s="690"/>
      <c r="AE266" s="690"/>
    </row>
    <row r="267" spans="1:31" ht="15.75" customHeight="1">
      <c r="A267" s="690"/>
      <c r="B267" s="690"/>
      <c r="C267" s="690"/>
      <c r="D267" s="690"/>
      <c r="E267" s="690"/>
      <c r="F267" s="690"/>
      <c r="G267" s="690"/>
      <c r="H267" s="690"/>
      <c r="I267" s="690"/>
      <c r="J267" s="690"/>
      <c r="K267" s="690"/>
      <c r="L267" s="690"/>
      <c r="M267" s="690"/>
      <c r="N267" s="690"/>
      <c r="O267" s="690"/>
      <c r="P267" s="690"/>
      <c r="Q267" s="690"/>
      <c r="R267" s="690"/>
      <c r="S267" s="690"/>
      <c r="T267" s="690"/>
      <c r="U267" s="690"/>
      <c r="V267" s="690"/>
      <c r="W267" s="690"/>
      <c r="X267" s="690"/>
      <c r="Y267" s="690"/>
      <c r="Z267" s="690"/>
      <c r="AA267" s="690"/>
      <c r="AB267" s="690"/>
      <c r="AC267" s="690"/>
      <c r="AD267" s="690"/>
      <c r="AE267" s="690"/>
    </row>
    <row r="268" spans="1:31" ht="15.75" customHeight="1">
      <c r="A268" s="690"/>
      <c r="B268" s="690"/>
      <c r="C268" s="690"/>
      <c r="D268" s="690"/>
      <c r="E268" s="690"/>
      <c r="F268" s="690"/>
      <c r="G268" s="690"/>
      <c r="H268" s="690"/>
      <c r="I268" s="690"/>
      <c r="J268" s="690"/>
      <c r="K268" s="690"/>
      <c r="L268" s="690"/>
      <c r="M268" s="690"/>
      <c r="N268" s="690"/>
      <c r="O268" s="690"/>
      <c r="P268" s="690"/>
      <c r="Q268" s="690"/>
      <c r="R268" s="690"/>
      <c r="S268" s="690"/>
      <c r="T268" s="690"/>
      <c r="U268" s="690"/>
      <c r="V268" s="690"/>
      <c r="W268" s="690"/>
      <c r="X268" s="690"/>
      <c r="Y268" s="690"/>
      <c r="Z268" s="690"/>
      <c r="AA268" s="690"/>
      <c r="AB268" s="690"/>
      <c r="AC268" s="690"/>
      <c r="AD268" s="690"/>
      <c r="AE268" s="690"/>
    </row>
    <row r="269" spans="1:31" ht="15.75" customHeight="1">
      <c r="A269" s="690"/>
      <c r="B269" s="690"/>
      <c r="C269" s="690"/>
      <c r="D269" s="690"/>
      <c r="E269" s="690"/>
      <c r="F269" s="690"/>
      <c r="G269" s="690"/>
      <c r="H269" s="690"/>
      <c r="I269" s="690"/>
      <c r="J269" s="690"/>
      <c r="K269" s="690"/>
      <c r="L269" s="690"/>
      <c r="M269" s="690"/>
      <c r="N269" s="690"/>
      <c r="O269" s="690"/>
      <c r="P269" s="690"/>
      <c r="Q269" s="690"/>
      <c r="R269" s="690"/>
      <c r="S269" s="690"/>
      <c r="T269" s="690"/>
      <c r="U269" s="690"/>
      <c r="V269" s="690"/>
      <c r="W269" s="690"/>
      <c r="X269" s="690"/>
      <c r="Y269" s="690"/>
      <c r="Z269" s="690"/>
      <c r="AA269" s="690"/>
      <c r="AB269" s="690"/>
      <c r="AC269" s="690"/>
      <c r="AD269" s="690"/>
      <c r="AE269" s="690"/>
    </row>
    <row r="270" spans="1:31" ht="15.75" customHeight="1">
      <c r="A270" s="690"/>
      <c r="B270" s="690"/>
      <c r="C270" s="690"/>
      <c r="D270" s="690"/>
      <c r="E270" s="690"/>
      <c r="F270" s="690"/>
      <c r="G270" s="690"/>
      <c r="H270" s="690"/>
      <c r="I270" s="690"/>
      <c r="J270" s="690"/>
      <c r="K270" s="690"/>
      <c r="L270" s="690"/>
      <c r="M270" s="690"/>
      <c r="N270" s="690"/>
      <c r="O270" s="690"/>
      <c r="P270" s="690"/>
      <c r="Q270" s="690"/>
      <c r="R270" s="690"/>
      <c r="S270" s="690"/>
      <c r="T270" s="690"/>
      <c r="U270" s="690"/>
      <c r="V270" s="690"/>
      <c r="W270" s="690"/>
      <c r="X270" s="690"/>
      <c r="Y270" s="690"/>
      <c r="Z270" s="690"/>
      <c r="AA270" s="690"/>
      <c r="AB270" s="690"/>
      <c r="AC270" s="690"/>
      <c r="AD270" s="690"/>
      <c r="AE270" s="690"/>
    </row>
    <row r="271" spans="1:31" ht="15.75" customHeight="1">
      <c r="A271" s="690"/>
      <c r="B271" s="690"/>
      <c r="C271" s="690"/>
      <c r="D271" s="690"/>
      <c r="E271" s="690"/>
      <c r="F271" s="690"/>
      <c r="G271" s="690"/>
      <c r="H271" s="690"/>
      <c r="I271" s="690"/>
      <c r="J271" s="690"/>
      <c r="K271" s="690"/>
      <c r="L271" s="690"/>
      <c r="M271" s="690"/>
      <c r="N271" s="690"/>
      <c r="O271" s="690"/>
      <c r="P271" s="690"/>
      <c r="Q271" s="690"/>
      <c r="R271" s="690"/>
      <c r="S271" s="690"/>
      <c r="T271" s="690"/>
      <c r="U271" s="690"/>
      <c r="V271" s="690"/>
      <c r="W271" s="690"/>
      <c r="X271" s="690"/>
      <c r="Y271" s="690"/>
      <c r="Z271" s="690"/>
      <c r="AA271" s="690"/>
      <c r="AB271" s="690"/>
      <c r="AC271" s="690"/>
      <c r="AD271" s="690"/>
      <c r="AE271" s="690"/>
    </row>
    <row r="272" spans="1:31" ht="15.75" customHeight="1">
      <c r="A272" s="690"/>
      <c r="B272" s="690"/>
      <c r="C272" s="690"/>
      <c r="D272" s="690"/>
      <c r="E272" s="690"/>
      <c r="F272" s="690"/>
      <c r="G272" s="690"/>
      <c r="H272" s="690"/>
      <c r="I272" s="690"/>
      <c r="J272" s="690"/>
      <c r="K272" s="690"/>
      <c r="L272" s="690"/>
      <c r="M272" s="690"/>
      <c r="N272" s="690"/>
      <c r="O272" s="690"/>
      <c r="P272" s="690"/>
      <c r="Q272" s="690"/>
      <c r="R272" s="690"/>
      <c r="S272" s="690"/>
      <c r="T272" s="690"/>
      <c r="U272" s="690"/>
      <c r="V272" s="690"/>
      <c r="W272" s="690"/>
      <c r="X272" s="690"/>
      <c r="Y272" s="690"/>
      <c r="Z272" s="690"/>
      <c r="AA272" s="690"/>
      <c r="AB272" s="690"/>
      <c r="AC272" s="690"/>
      <c r="AD272" s="690"/>
      <c r="AE272" s="690"/>
    </row>
    <row r="273" spans="1:31" ht="15.75" customHeight="1">
      <c r="A273" s="690"/>
      <c r="B273" s="690"/>
      <c r="C273" s="690"/>
      <c r="D273" s="690"/>
      <c r="E273" s="690"/>
      <c r="F273" s="690"/>
      <c r="G273" s="690"/>
      <c r="H273" s="690"/>
      <c r="I273" s="690"/>
      <c r="J273" s="690"/>
      <c r="K273" s="690"/>
      <c r="L273" s="690"/>
      <c r="M273" s="690"/>
      <c r="N273" s="690"/>
      <c r="O273" s="690"/>
      <c r="P273" s="690"/>
      <c r="Q273" s="690"/>
      <c r="R273" s="690"/>
      <c r="S273" s="690"/>
      <c r="T273" s="690"/>
      <c r="U273" s="690"/>
      <c r="V273" s="690"/>
      <c r="W273" s="690"/>
      <c r="X273" s="690"/>
      <c r="Y273" s="690"/>
      <c r="Z273" s="690"/>
      <c r="AA273" s="690"/>
      <c r="AB273" s="690"/>
      <c r="AC273" s="690"/>
      <c r="AD273" s="690"/>
      <c r="AE273" s="690"/>
    </row>
    <row r="274" spans="1:31" ht="15.75" customHeight="1">
      <c r="A274" s="690"/>
      <c r="B274" s="690"/>
      <c r="C274" s="690"/>
      <c r="D274" s="690"/>
      <c r="E274" s="690"/>
      <c r="F274" s="690"/>
      <c r="G274" s="690"/>
      <c r="H274" s="690"/>
      <c r="I274" s="690"/>
      <c r="J274" s="690"/>
      <c r="K274" s="690"/>
      <c r="L274" s="690"/>
      <c r="M274" s="690"/>
      <c r="N274" s="690"/>
      <c r="O274" s="690"/>
      <c r="P274" s="690"/>
      <c r="Q274" s="690"/>
      <c r="R274" s="690"/>
      <c r="S274" s="690"/>
      <c r="T274" s="690"/>
      <c r="U274" s="690"/>
      <c r="V274" s="690"/>
      <c r="W274" s="690"/>
      <c r="X274" s="690"/>
      <c r="Y274" s="690"/>
      <c r="Z274" s="690"/>
      <c r="AA274" s="690"/>
      <c r="AB274" s="690"/>
      <c r="AC274" s="690"/>
      <c r="AD274" s="690"/>
      <c r="AE274" s="690"/>
    </row>
    <row r="275" spans="1:31" ht="15.75" customHeight="1">
      <c r="A275" s="690"/>
      <c r="B275" s="690"/>
      <c r="C275" s="690"/>
      <c r="D275" s="690"/>
      <c r="E275" s="690"/>
      <c r="F275" s="690"/>
      <c r="G275" s="690"/>
      <c r="H275" s="690"/>
      <c r="I275" s="690"/>
      <c r="J275" s="690"/>
      <c r="K275" s="690"/>
      <c r="L275" s="690"/>
      <c r="M275" s="690"/>
      <c r="N275" s="690"/>
      <c r="O275" s="690"/>
      <c r="P275" s="690"/>
      <c r="Q275" s="690"/>
      <c r="R275" s="690"/>
      <c r="S275" s="690"/>
      <c r="T275" s="690"/>
      <c r="U275" s="690"/>
      <c r="V275" s="690"/>
      <c r="W275" s="690"/>
      <c r="X275" s="690"/>
      <c r="Y275" s="690"/>
      <c r="Z275" s="690"/>
      <c r="AA275" s="690"/>
      <c r="AB275" s="690"/>
      <c r="AC275" s="690"/>
      <c r="AD275" s="690"/>
      <c r="AE275" s="690"/>
    </row>
    <row r="276" spans="1:31" ht="15.75" customHeight="1">
      <c r="A276" s="690"/>
      <c r="B276" s="690"/>
      <c r="C276" s="690"/>
      <c r="D276" s="690"/>
      <c r="E276" s="690"/>
      <c r="F276" s="690"/>
      <c r="G276" s="690"/>
      <c r="H276" s="690"/>
      <c r="I276" s="690"/>
      <c r="J276" s="690"/>
      <c r="K276" s="690"/>
      <c r="L276" s="690"/>
      <c r="M276" s="690"/>
      <c r="N276" s="690"/>
      <c r="O276" s="690"/>
      <c r="P276" s="690"/>
      <c r="Q276" s="690"/>
      <c r="R276" s="690"/>
      <c r="S276" s="690"/>
      <c r="T276" s="690"/>
      <c r="U276" s="690"/>
      <c r="V276" s="690"/>
      <c r="W276" s="690"/>
      <c r="X276" s="690"/>
      <c r="Y276" s="690"/>
      <c r="Z276" s="690"/>
      <c r="AA276" s="690"/>
      <c r="AB276" s="690"/>
      <c r="AC276" s="690"/>
      <c r="AD276" s="690"/>
      <c r="AE276" s="690"/>
    </row>
    <row r="277" spans="1:31" ht="15.75" customHeight="1">
      <c r="A277" s="690"/>
      <c r="B277" s="690"/>
      <c r="C277" s="690"/>
      <c r="D277" s="690"/>
      <c r="E277" s="690"/>
      <c r="F277" s="690"/>
      <c r="G277" s="690"/>
      <c r="H277" s="690"/>
      <c r="I277" s="690"/>
      <c r="J277" s="690"/>
      <c r="K277" s="690"/>
      <c r="L277" s="690"/>
      <c r="M277" s="690"/>
      <c r="N277" s="690"/>
      <c r="O277" s="690"/>
      <c r="P277" s="690"/>
      <c r="Q277" s="690"/>
      <c r="R277" s="690"/>
      <c r="S277" s="690"/>
      <c r="T277" s="690"/>
      <c r="U277" s="690"/>
      <c r="V277" s="690"/>
      <c r="W277" s="690"/>
      <c r="X277" s="690"/>
      <c r="Y277" s="690"/>
      <c r="Z277" s="690"/>
      <c r="AA277" s="690"/>
      <c r="AB277" s="690"/>
      <c r="AC277" s="690"/>
      <c r="AD277" s="690"/>
      <c r="AE277" s="690"/>
    </row>
    <row r="278" spans="1:31" ht="15.75" customHeight="1">
      <c r="A278" s="690"/>
      <c r="B278" s="690"/>
      <c r="C278" s="690"/>
      <c r="D278" s="690"/>
      <c r="E278" s="690"/>
      <c r="F278" s="690"/>
      <c r="G278" s="690"/>
      <c r="H278" s="690"/>
      <c r="I278" s="690"/>
      <c r="J278" s="690"/>
      <c r="K278" s="690"/>
      <c r="L278" s="690"/>
      <c r="M278" s="690"/>
      <c r="N278" s="690"/>
      <c r="O278" s="690"/>
      <c r="P278" s="690"/>
      <c r="Q278" s="690"/>
      <c r="R278" s="690"/>
      <c r="S278" s="690"/>
      <c r="T278" s="690"/>
      <c r="U278" s="690"/>
      <c r="V278" s="690"/>
      <c r="W278" s="690"/>
      <c r="X278" s="690"/>
      <c r="Y278" s="690"/>
      <c r="Z278" s="690"/>
      <c r="AA278" s="690"/>
      <c r="AB278" s="690"/>
      <c r="AC278" s="690"/>
      <c r="AD278" s="690"/>
      <c r="AE278" s="690"/>
    </row>
    <row r="279" spans="1:31" ht="15.75" customHeight="1">
      <c r="A279" s="690"/>
      <c r="B279" s="690"/>
      <c r="C279" s="690"/>
      <c r="D279" s="690"/>
      <c r="E279" s="690"/>
      <c r="F279" s="690"/>
      <c r="G279" s="690"/>
      <c r="H279" s="690"/>
      <c r="I279" s="690"/>
      <c r="J279" s="690"/>
      <c r="K279" s="690"/>
      <c r="L279" s="690"/>
      <c r="M279" s="690"/>
      <c r="N279" s="690"/>
      <c r="O279" s="690"/>
      <c r="P279" s="690"/>
      <c r="Q279" s="690"/>
      <c r="R279" s="690"/>
      <c r="S279" s="690"/>
      <c r="T279" s="690"/>
      <c r="U279" s="690"/>
      <c r="V279" s="690"/>
      <c r="W279" s="690"/>
      <c r="X279" s="690"/>
      <c r="Y279" s="690"/>
      <c r="Z279" s="690"/>
      <c r="AA279" s="690"/>
      <c r="AB279" s="690"/>
      <c r="AC279" s="690"/>
      <c r="AD279" s="690"/>
      <c r="AE279" s="690"/>
    </row>
    <row r="280" spans="1:31" ht="15.75" customHeight="1">
      <c r="A280" s="690"/>
      <c r="B280" s="690"/>
      <c r="C280" s="690"/>
      <c r="D280" s="690"/>
      <c r="E280" s="690"/>
      <c r="F280" s="690"/>
      <c r="G280" s="690"/>
      <c r="H280" s="690"/>
      <c r="I280" s="690"/>
      <c r="J280" s="690"/>
      <c r="K280" s="690"/>
      <c r="L280" s="690"/>
      <c r="M280" s="690"/>
      <c r="N280" s="690"/>
      <c r="O280" s="690"/>
      <c r="P280" s="690"/>
      <c r="Q280" s="690"/>
      <c r="R280" s="690"/>
      <c r="S280" s="690"/>
      <c r="T280" s="690"/>
      <c r="U280" s="690"/>
      <c r="V280" s="690"/>
      <c r="W280" s="690"/>
      <c r="X280" s="690"/>
      <c r="Y280" s="690"/>
      <c r="Z280" s="690"/>
      <c r="AA280" s="690"/>
      <c r="AB280" s="690"/>
      <c r="AC280" s="690"/>
      <c r="AD280" s="690"/>
      <c r="AE280" s="690"/>
    </row>
    <row r="281" spans="1:31" ht="15.75" customHeight="1">
      <c r="A281" s="690"/>
      <c r="B281" s="690"/>
      <c r="C281" s="690"/>
      <c r="D281" s="690"/>
      <c r="E281" s="690"/>
      <c r="F281" s="690"/>
      <c r="G281" s="690"/>
      <c r="H281" s="690"/>
      <c r="I281" s="690"/>
      <c r="J281" s="690"/>
      <c r="K281" s="690"/>
      <c r="L281" s="690"/>
      <c r="M281" s="690"/>
      <c r="N281" s="690"/>
      <c r="O281" s="690"/>
      <c r="P281" s="690"/>
      <c r="Q281" s="690"/>
      <c r="R281" s="690"/>
      <c r="S281" s="690"/>
      <c r="T281" s="690"/>
      <c r="U281" s="690"/>
      <c r="V281" s="690"/>
      <c r="W281" s="690"/>
      <c r="X281" s="690"/>
      <c r="Y281" s="690"/>
      <c r="Z281" s="690"/>
      <c r="AA281" s="690"/>
      <c r="AB281" s="690"/>
      <c r="AC281" s="690"/>
      <c r="AD281" s="690"/>
      <c r="AE281" s="690"/>
    </row>
    <row r="282" spans="1:31" ht="15.75" customHeight="1">
      <c r="A282" s="690"/>
      <c r="B282" s="690"/>
      <c r="C282" s="690"/>
      <c r="D282" s="690"/>
      <c r="E282" s="690"/>
      <c r="F282" s="690"/>
      <c r="G282" s="690"/>
      <c r="H282" s="690"/>
      <c r="I282" s="690"/>
      <c r="J282" s="690"/>
      <c r="K282" s="690"/>
      <c r="L282" s="690"/>
      <c r="M282" s="690"/>
      <c r="N282" s="690"/>
      <c r="O282" s="690"/>
      <c r="P282" s="690"/>
      <c r="Q282" s="690"/>
      <c r="R282" s="690"/>
      <c r="S282" s="690"/>
      <c r="T282" s="690"/>
      <c r="U282" s="690"/>
      <c r="V282" s="690"/>
      <c r="W282" s="690"/>
      <c r="X282" s="690"/>
      <c r="Y282" s="690"/>
      <c r="Z282" s="690"/>
      <c r="AA282" s="690"/>
      <c r="AB282" s="690"/>
      <c r="AC282" s="690"/>
      <c r="AD282" s="690"/>
      <c r="AE282" s="690"/>
    </row>
    <row r="283" spans="1:31" ht="15.75" customHeight="1">
      <c r="A283" s="690"/>
      <c r="B283" s="690"/>
      <c r="C283" s="690"/>
      <c r="D283" s="690"/>
      <c r="E283" s="690"/>
      <c r="F283" s="690"/>
      <c r="G283" s="690"/>
      <c r="H283" s="690"/>
      <c r="I283" s="690"/>
      <c r="J283" s="690"/>
      <c r="K283" s="690"/>
      <c r="L283" s="690"/>
      <c r="M283" s="690"/>
      <c r="N283" s="690"/>
      <c r="O283" s="690"/>
      <c r="P283" s="690"/>
      <c r="Q283" s="690"/>
      <c r="R283" s="690"/>
      <c r="S283" s="690"/>
      <c r="T283" s="690"/>
      <c r="U283" s="690"/>
      <c r="V283" s="690"/>
      <c r="W283" s="690"/>
      <c r="X283" s="690"/>
      <c r="Y283" s="690"/>
      <c r="Z283" s="690"/>
      <c r="AA283" s="690"/>
      <c r="AB283" s="690"/>
      <c r="AC283" s="690"/>
      <c r="AD283" s="690"/>
      <c r="AE283" s="690"/>
    </row>
    <row r="284" spans="1:31" ht="15.75" customHeight="1">
      <c r="A284" s="690"/>
      <c r="B284" s="690"/>
      <c r="C284" s="690"/>
      <c r="D284" s="690"/>
      <c r="E284" s="690"/>
      <c r="F284" s="690"/>
      <c r="G284" s="690"/>
      <c r="H284" s="690"/>
      <c r="I284" s="690"/>
      <c r="J284" s="690"/>
      <c r="K284" s="690"/>
      <c r="L284" s="690"/>
      <c r="M284" s="690"/>
      <c r="N284" s="690"/>
      <c r="O284" s="690"/>
      <c r="P284" s="690"/>
      <c r="Q284" s="690"/>
      <c r="R284" s="690"/>
      <c r="S284" s="690"/>
      <c r="T284" s="690"/>
      <c r="U284" s="690"/>
      <c r="V284" s="690"/>
      <c r="W284" s="690"/>
      <c r="X284" s="690"/>
      <c r="Y284" s="690"/>
      <c r="Z284" s="690"/>
      <c r="AA284" s="690"/>
      <c r="AB284" s="690"/>
      <c r="AC284" s="690"/>
      <c r="AD284" s="690"/>
      <c r="AE284" s="690"/>
    </row>
    <row r="285" spans="1:31" ht="15.75" customHeight="1">
      <c r="A285" s="690"/>
      <c r="B285" s="690"/>
      <c r="C285" s="690"/>
      <c r="D285" s="690"/>
      <c r="E285" s="690"/>
      <c r="F285" s="690"/>
      <c r="G285" s="690"/>
      <c r="H285" s="690"/>
      <c r="I285" s="690"/>
      <c r="J285" s="690"/>
      <c r="K285" s="690"/>
      <c r="L285" s="690"/>
      <c r="M285" s="690"/>
      <c r="N285" s="690"/>
      <c r="O285" s="690"/>
      <c r="P285" s="690"/>
      <c r="Q285" s="690"/>
      <c r="R285" s="690"/>
      <c r="S285" s="690"/>
      <c r="T285" s="690"/>
      <c r="U285" s="690"/>
      <c r="V285" s="690"/>
      <c r="W285" s="690"/>
      <c r="X285" s="690"/>
      <c r="Y285" s="690"/>
      <c r="Z285" s="690"/>
      <c r="AA285" s="690"/>
      <c r="AB285" s="690"/>
      <c r="AC285" s="690"/>
      <c r="AD285" s="690"/>
      <c r="AE285" s="690"/>
    </row>
    <row r="286" spans="1:31" ht="15.75" customHeight="1">
      <c r="A286" s="690"/>
      <c r="B286" s="690"/>
      <c r="C286" s="690"/>
      <c r="D286" s="690"/>
      <c r="E286" s="690"/>
      <c r="F286" s="690"/>
      <c r="G286" s="690"/>
      <c r="H286" s="690"/>
      <c r="I286" s="690"/>
      <c r="J286" s="690"/>
      <c r="K286" s="690"/>
      <c r="L286" s="690"/>
      <c r="M286" s="690"/>
      <c r="N286" s="690"/>
      <c r="O286" s="690"/>
      <c r="P286" s="690"/>
      <c r="Q286" s="690"/>
      <c r="R286" s="690"/>
      <c r="S286" s="690"/>
      <c r="T286" s="690"/>
      <c r="U286" s="690"/>
      <c r="V286" s="690"/>
      <c r="W286" s="690"/>
      <c r="X286" s="690"/>
      <c r="Y286" s="690"/>
      <c r="Z286" s="690"/>
      <c r="AA286" s="690"/>
      <c r="AB286" s="690"/>
      <c r="AC286" s="690"/>
      <c r="AD286" s="690"/>
      <c r="AE286" s="690"/>
    </row>
    <row r="287" spans="1:31" ht="15.75" customHeight="1">
      <c r="A287" s="690"/>
      <c r="B287" s="690"/>
      <c r="C287" s="690"/>
      <c r="D287" s="690"/>
      <c r="E287" s="690"/>
      <c r="F287" s="690"/>
      <c r="G287" s="690"/>
      <c r="H287" s="690"/>
      <c r="I287" s="690"/>
      <c r="J287" s="690"/>
      <c r="K287" s="690"/>
      <c r="L287" s="690"/>
      <c r="M287" s="690"/>
      <c r="N287" s="690"/>
      <c r="O287" s="690"/>
      <c r="P287" s="690"/>
      <c r="Q287" s="690"/>
      <c r="R287" s="690"/>
      <c r="S287" s="690"/>
      <c r="T287" s="690"/>
      <c r="U287" s="690"/>
      <c r="V287" s="690"/>
      <c r="W287" s="690"/>
      <c r="X287" s="690"/>
      <c r="Y287" s="690"/>
      <c r="Z287" s="690"/>
      <c r="AA287" s="690"/>
      <c r="AB287" s="690"/>
      <c r="AC287" s="690"/>
      <c r="AD287" s="690"/>
      <c r="AE287" s="690"/>
    </row>
    <row r="288" spans="1:31" ht="15.75" customHeight="1">
      <c r="A288" s="690"/>
      <c r="B288" s="690"/>
      <c r="C288" s="690"/>
      <c r="D288" s="690"/>
      <c r="E288" s="690"/>
      <c r="F288" s="690"/>
      <c r="G288" s="690"/>
      <c r="H288" s="690"/>
      <c r="I288" s="690"/>
      <c r="J288" s="690"/>
      <c r="K288" s="690"/>
      <c r="L288" s="690"/>
      <c r="M288" s="690"/>
      <c r="N288" s="690"/>
      <c r="O288" s="690"/>
      <c r="P288" s="690"/>
      <c r="Q288" s="690"/>
      <c r="R288" s="690"/>
      <c r="S288" s="690"/>
      <c r="T288" s="690"/>
      <c r="U288" s="690"/>
      <c r="V288" s="690"/>
      <c r="W288" s="690"/>
      <c r="X288" s="690"/>
      <c r="Y288" s="690"/>
      <c r="Z288" s="690"/>
      <c r="AA288" s="690"/>
      <c r="AB288" s="690"/>
      <c r="AC288" s="690"/>
      <c r="AD288" s="690"/>
      <c r="AE288" s="690"/>
    </row>
    <row r="289" spans="1:31" ht="15.75" customHeight="1">
      <c r="A289" s="690"/>
      <c r="B289" s="690"/>
      <c r="C289" s="690"/>
      <c r="D289" s="690"/>
      <c r="E289" s="690"/>
      <c r="F289" s="690"/>
      <c r="G289" s="690"/>
      <c r="H289" s="690"/>
      <c r="I289" s="690"/>
      <c r="J289" s="690"/>
      <c r="K289" s="690"/>
      <c r="L289" s="690"/>
      <c r="M289" s="690"/>
      <c r="N289" s="690"/>
      <c r="O289" s="690"/>
      <c r="P289" s="690"/>
      <c r="Q289" s="690"/>
      <c r="R289" s="690"/>
      <c r="S289" s="690"/>
      <c r="T289" s="690"/>
      <c r="U289" s="690"/>
      <c r="V289" s="690"/>
      <c r="W289" s="690"/>
      <c r="X289" s="690"/>
      <c r="Y289" s="690"/>
      <c r="Z289" s="690"/>
      <c r="AA289" s="690"/>
      <c r="AB289" s="690"/>
      <c r="AC289" s="690"/>
      <c r="AD289" s="690"/>
      <c r="AE289" s="690"/>
    </row>
    <row r="290" spans="1:31" ht="15.75" customHeight="1">
      <c r="A290" s="690"/>
      <c r="B290" s="690"/>
      <c r="C290" s="690"/>
      <c r="D290" s="690"/>
      <c r="E290" s="690"/>
      <c r="F290" s="690"/>
      <c r="G290" s="690"/>
      <c r="H290" s="690"/>
      <c r="I290" s="690"/>
      <c r="J290" s="690"/>
      <c r="K290" s="690"/>
      <c r="L290" s="690"/>
      <c r="M290" s="690"/>
      <c r="N290" s="690"/>
      <c r="O290" s="690"/>
      <c r="P290" s="690"/>
      <c r="Q290" s="690"/>
      <c r="R290" s="690"/>
      <c r="S290" s="690"/>
      <c r="T290" s="690"/>
      <c r="U290" s="690"/>
      <c r="V290" s="690"/>
      <c r="W290" s="690"/>
      <c r="X290" s="690"/>
      <c r="Y290" s="690"/>
      <c r="Z290" s="690"/>
      <c r="AA290" s="690"/>
      <c r="AB290" s="690"/>
      <c r="AC290" s="690"/>
      <c r="AD290" s="690"/>
      <c r="AE290" s="690"/>
    </row>
    <row r="291" spans="1:31" ht="15.75" customHeight="1">
      <c r="A291" s="690"/>
      <c r="B291" s="690"/>
      <c r="C291" s="690"/>
      <c r="D291" s="690"/>
      <c r="E291" s="690"/>
      <c r="F291" s="690"/>
      <c r="G291" s="690"/>
      <c r="H291" s="690"/>
      <c r="I291" s="690"/>
      <c r="J291" s="690"/>
      <c r="K291" s="690"/>
      <c r="L291" s="690"/>
      <c r="M291" s="690"/>
      <c r="N291" s="690"/>
      <c r="O291" s="690"/>
      <c r="P291" s="690"/>
      <c r="Q291" s="690"/>
      <c r="R291" s="690"/>
      <c r="S291" s="690"/>
      <c r="T291" s="690"/>
      <c r="U291" s="690"/>
      <c r="V291" s="690"/>
      <c r="W291" s="690"/>
      <c r="X291" s="690"/>
      <c r="Y291" s="690"/>
      <c r="Z291" s="690"/>
      <c r="AA291" s="690"/>
      <c r="AB291" s="690"/>
      <c r="AC291" s="690"/>
      <c r="AD291" s="690"/>
      <c r="AE291" s="690"/>
    </row>
    <row r="292" spans="1:31" ht="15.75" customHeight="1">
      <c r="A292" s="690"/>
      <c r="B292" s="690"/>
      <c r="C292" s="690"/>
      <c r="D292" s="690"/>
      <c r="E292" s="690"/>
      <c r="F292" s="690"/>
      <c r="G292" s="690"/>
      <c r="H292" s="690"/>
      <c r="I292" s="690"/>
      <c r="J292" s="690"/>
      <c r="K292" s="690"/>
      <c r="L292" s="690"/>
      <c r="M292" s="690"/>
      <c r="N292" s="690"/>
      <c r="O292" s="690"/>
      <c r="P292" s="690"/>
      <c r="Q292" s="690"/>
      <c r="R292" s="690"/>
      <c r="S292" s="690"/>
      <c r="T292" s="690"/>
      <c r="U292" s="690"/>
      <c r="V292" s="690"/>
      <c r="W292" s="690"/>
      <c r="X292" s="690"/>
      <c r="Y292" s="690"/>
      <c r="Z292" s="690"/>
      <c r="AA292" s="690"/>
      <c r="AB292" s="690"/>
      <c r="AC292" s="690"/>
      <c r="AD292" s="690"/>
      <c r="AE292" s="690"/>
    </row>
    <row r="293" spans="1:31" ht="15.75" customHeight="1">
      <c r="A293" s="690"/>
      <c r="B293" s="690"/>
      <c r="C293" s="690"/>
      <c r="D293" s="690"/>
      <c r="E293" s="690"/>
      <c r="F293" s="690"/>
      <c r="G293" s="690"/>
      <c r="H293" s="690"/>
      <c r="I293" s="690"/>
      <c r="J293" s="690"/>
      <c r="K293" s="690"/>
      <c r="L293" s="690"/>
      <c r="M293" s="690"/>
      <c r="N293" s="690"/>
      <c r="O293" s="690"/>
      <c r="P293" s="690"/>
      <c r="Q293" s="690"/>
      <c r="R293" s="690"/>
      <c r="S293" s="690"/>
      <c r="T293" s="690"/>
      <c r="U293" s="690"/>
      <c r="V293" s="690"/>
      <c r="W293" s="690"/>
      <c r="X293" s="690"/>
      <c r="Y293" s="690"/>
      <c r="Z293" s="690"/>
      <c r="AA293" s="690"/>
      <c r="AB293" s="690"/>
      <c r="AC293" s="690"/>
      <c r="AD293" s="690"/>
      <c r="AE293" s="690"/>
    </row>
    <row r="294" spans="1:31" ht="15.75" customHeight="1">
      <c r="A294" s="690"/>
      <c r="B294" s="690"/>
      <c r="C294" s="690"/>
      <c r="D294" s="690"/>
      <c r="E294" s="690"/>
      <c r="F294" s="690"/>
      <c r="G294" s="690"/>
      <c r="H294" s="690"/>
      <c r="I294" s="690"/>
      <c r="J294" s="690"/>
      <c r="K294" s="690"/>
      <c r="L294" s="690"/>
      <c r="M294" s="690"/>
      <c r="N294" s="690"/>
      <c r="O294" s="690"/>
      <c r="P294" s="690"/>
      <c r="Q294" s="690"/>
      <c r="R294" s="690"/>
      <c r="S294" s="690"/>
      <c r="T294" s="690"/>
      <c r="U294" s="690"/>
      <c r="V294" s="690"/>
      <c r="W294" s="690"/>
      <c r="X294" s="690"/>
      <c r="Y294" s="690"/>
      <c r="Z294" s="690"/>
      <c r="AA294" s="690"/>
      <c r="AB294" s="690"/>
      <c r="AC294" s="690"/>
      <c r="AD294" s="690"/>
      <c r="AE294" s="690"/>
    </row>
    <row r="295" spans="1:31" ht="15.75" customHeight="1">
      <c r="A295" s="690"/>
      <c r="B295" s="690"/>
      <c r="C295" s="690"/>
      <c r="D295" s="690"/>
      <c r="E295" s="690"/>
      <c r="F295" s="690"/>
      <c r="G295" s="690"/>
      <c r="H295" s="690"/>
      <c r="I295" s="690"/>
      <c r="J295" s="690"/>
      <c r="K295" s="690"/>
      <c r="L295" s="690"/>
      <c r="M295" s="690"/>
      <c r="N295" s="690"/>
      <c r="O295" s="690"/>
      <c r="P295" s="690"/>
      <c r="Q295" s="690"/>
      <c r="R295" s="690"/>
      <c r="S295" s="690"/>
      <c r="T295" s="690"/>
      <c r="U295" s="690"/>
      <c r="V295" s="690"/>
      <c r="W295" s="690"/>
      <c r="X295" s="690"/>
      <c r="Y295" s="690"/>
      <c r="Z295" s="690"/>
      <c r="AA295" s="690"/>
      <c r="AB295" s="690"/>
      <c r="AC295" s="690"/>
      <c r="AD295" s="690"/>
      <c r="AE295" s="690"/>
    </row>
    <row r="296" spans="1:31" ht="15.75" customHeight="1">
      <c r="A296" s="690"/>
      <c r="B296" s="690"/>
      <c r="C296" s="690"/>
      <c r="D296" s="690"/>
      <c r="E296" s="690"/>
      <c r="F296" s="690"/>
      <c r="G296" s="690"/>
      <c r="H296" s="690"/>
      <c r="I296" s="690"/>
      <c r="J296" s="690"/>
      <c r="K296" s="690"/>
      <c r="L296" s="690"/>
      <c r="M296" s="690"/>
      <c r="N296" s="690"/>
      <c r="O296" s="690"/>
      <c r="P296" s="690"/>
      <c r="Q296" s="690"/>
      <c r="R296" s="690"/>
      <c r="S296" s="690"/>
      <c r="T296" s="690"/>
      <c r="U296" s="690"/>
      <c r="V296" s="690"/>
      <c r="W296" s="690"/>
      <c r="X296" s="690"/>
      <c r="Y296" s="690"/>
      <c r="Z296" s="690"/>
      <c r="AA296" s="690"/>
      <c r="AB296" s="690"/>
      <c r="AC296" s="690"/>
      <c r="AD296" s="690"/>
      <c r="AE296" s="690"/>
    </row>
    <row r="297" spans="1:31" ht="15.75" customHeight="1">
      <c r="A297" s="690"/>
      <c r="B297" s="690"/>
      <c r="C297" s="690"/>
      <c r="D297" s="690"/>
      <c r="E297" s="690"/>
      <c r="F297" s="690"/>
      <c r="G297" s="690"/>
      <c r="H297" s="690"/>
      <c r="I297" s="690"/>
      <c r="J297" s="690"/>
      <c r="K297" s="690"/>
      <c r="L297" s="690"/>
      <c r="M297" s="690"/>
      <c r="N297" s="690"/>
      <c r="O297" s="690"/>
      <c r="P297" s="690"/>
      <c r="Q297" s="690"/>
      <c r="R297" s="690"/>
      <c r="S297" s="690"/>
      <c r="T297" s="690"/>
      <c r="U297" s="690"/>
      <c r="V297" s="690"/>
      <c r="W297" s="690"/>
      <c r="X297" s="690"/>
      <c r="Y297" s="690"/>
      <c r="Z297" s="690"/>
      <c r="AA297" s="690"/>
      <c r="AB297" s="690"/>
      <c r="AC297" s="690"/>
      <c r="AD297" s="690"/>
      <c r="AE297" s="690"/>
    </row>
    <row r="298" spans="1:31" ht="15.75" customHeight="1">
      <c r="A298" s="690"/>
      <c r="B298" s="690"/>
      <c r="C298" s="690"/>
      <c r="D298" s="690"/>
      <c r="E298" s="690"/>
      <c r="F298" s="690"/>
      <c r="G298" s="690"/>
      <c r="H298" s="690"/>
      <c r="I298" s="690"/>
      <c r="J298" s="690"/>
      <c r="K298" s="690"/>
      <c r="L298" s="690"/>
      <c r="M298" s="690"/>
      <c r="N298" s="690"/>
      <c r="O298" s="690"/>
      <c r="P298" s="690"/>
      <c r="Q298" s="690"/>
      <c r="R298" s="690"/>
      <c r="S298" s="690"/>
      <c r="T298" s="690"/>
      <c r="U298" s="690"/>
      <c r="V298" s="690"/>
      <c r="W298" s="690"/>
      <c r="X298" s="690"/>
      <c r="Y298" s="690"/>
      <c r="Z298" s="690"/>
      <c r="AA298" s="690"/>
      <c r="AB298" s="690"/>
      <c r="AC298" s="690"/>
      <c r="AD298" s="690"/>
      <c r="AE298" s="690"/>
    </row>
    <row r="299" spans="1:31" ht="15.75" customHeight="1">
      <c r="A299" s="690"/>
      <c r="B299" s="690"/>
      <c r="C299" s="690"/>
      <c r="D299" s="690"/>
      <c r="E299" s="690"/>
      <c r="F299" s="690"/>
      <c r="G299" s="690"/>
      <c r="H299" s="690"/>
      <c r="I299" s="690"/>
      <c r="J299" s="690"/>
      <c r="K299" s="690"/>
      <c r="L299" s="690"/>
      <c r="M299" s="690"/>
      <c r="N299" s="690"/>
      <c r="O299" s="690"/>
      <c r="P299" s="690"/>
      <c r="Q299" s="690"/>
      <c r="R299" s="690"/>
      <c r="S299" s="690"/>
      <c r="T299" s="690"/>
      <c r="U299" s="690"/>
      <c r="V299" s="690"/>
      <c r="W299" s="690"/>
      <c r="X299" s="690"/>
      <c r="Y299" s="690"/>
      <c r="Z299" s="690"/>
      <c r="AA299" s="690"/>
      <c r="AB299" s="690"/>
      <c r="AC299" s="690"/>
      <c r="AD299" s="690"/>
      <c r="AE299" s="690"/>
    </row>
    <row r="300" spans="1:31" ht="15.75" customHeight="1">
      <c r="A300" s="690"/>
      <c r="B300" s="690"/>
      <c r="C300" s="690"/>
      <c r="D300" s="690"/>
      <c r="E300" s="690"/>
      <c r="F300" s="690"/>
      <c r="G300" s="690"/>
      <c r="H300" s="690"/>
      <c r="I300" s="690"/>
      <c r="J300" s="690"/>
      <c r="K300" s="690"/>
      <c r="L300" s="690"/>
      <c r="M300" s="690"/>
      <c r="N300" s="690"/>
      <c r="O300" s="690"/>
      <c r="P300" s="690"/>
      <c r="Q300" s="690"/>
      <c r="R300" s="690"/>
      <c r="S300" s="690"/>
      <c r="T300" s="690"/>
      <c r="U300" s="690"/>
      <c r="V300" s="690"/>
      <c r="W300" s="690"/>
      <c r="X300" s="690"/>
      <c r="Y300" s="690"/>
      <c r="Z300" s="690"/>
      <c r="AA300" s="690"/>
      <c r="AB300" s="690"/>
      <c r="AC300" s="690"/>
      <c r="AD300" s="690"/>
      <c r="AE300" s="690"/>
    </row>
    <row r="301" spans="1:31" ht="15.75" customHeight="1">
      <c r="A301" s="690"/>
      <c r="B301" s="690"/>
      <c r="C301" s="690"/>
      <c r="D301" s="690"/>
      <c r="E301" s="690"/>
      <c r="F301" s="690"/>
      <c r="G301" s="690"/>
      <c r="H301" s="690"/>
      <c r="I301" s="690"/>
      <c r="J301" s="690"/>
      <c r="K301" s="690"/>
      <c r="L301" s="690"/>
      <c r="M301" s="690"/>
      <c r="N301" s="690"/>
      <c r="O301" s="690"/>
      <c r="P301" s="690"/>
      <c r="Q301" s="690"/>
      <c r="R301" s="690"/>
      <c r="S301" s="690"/>
      <c r="T301" s="690"/>
      <c r="U301" s="690"/>
      <c r="V301" s="690"/>
      <c r="W301" s="690"/>
      <c r="X301" s="690"/>
      <c r="Y301" s="690"/>
      <c r="Z301" s="690"/>
      <c r="AA301" s="690"/>
      <c r="AB301" s="690"/>
      <c r="AC301" s="690"/>
      <c r="AD301" s="690"/>
      <c r="AE301" s="690"/>
    </row>
    <row r="302" spans="1:31" ht="15.75" customHeight="1">
      <c r="A302" s="690"/>
      <c r="B302" s="690"/>
      <c r="C302" s="690"/>
      <c r="D302" s="690"/>
      <c r="E302" s="690"/>
      <c r="F302" s="690"/>
      <c r="G302" s="690"/>
      <c r="H302" s="690"/>
      <c r="I302" s="690"/>
      <c r="J302" s="690"/>
      <c r="K302" s="690"/>
      <c r="L302" s="690"/>
      <c r="M302" s="690"/>
      <c r="N302" s="690"/>
      <c r="O302" s="690"/>
      <c r="P302" s="690"/>
      <c r="Q302" s="690"/>
      <c r="R302" s="690"/>
      <c r="S302" s="690"/>
      <c r="T302" s="690"/>
      <c r="U302" s="690"/>
      <c r="V302" s="690"/>
      <c r="W302" s="690"/>
      <c r="X302" s="690"/>
      <c r="Y302" s="690"/>
      <c r="Z302" s="690"/>
      <c r="AA302" s="690"/>
      <c r="AB302" s="690"/>
      <c r="AC302" s="690"/>
      <c r="AD302" s="690"/>
      <c r="AE302" s="690"/>
    </row>
    <row r="303" spans="1:31" ht="15.75" customHeight="1">
      <c r="A303" s="690"/>
      <c r="B303" s="690"/>
      <c r="C303" s="690"/>
      <c r="D303" s="690"/>
      <c r="E303" s="690"/>
      <c r="F303" s="690"/>
      <c r="G303" s="690"/>
      <c r="H303" s="690"/>
      <c r="I303" s="690"/>
      <c r="J303" s="690"/>
      <c r="K303" s="690"/>
      <c r="L303" s="690"/>
      <c r="M303" s="690"/>
      <c r="N303" s="690"/>
      <c r="O303" s="690"/>
      <c r="P303" s="690"/>
      <c r="Q303" s="690"/>
      <c r="R303" s="690"/>
      <c r="S303" s="690"/>
      <c r="T303" s="690"/>
      <c r="U303" s="690"/>
      <c r="V303" s="690"/>
      <c r="W303" s="690"/>
      <c r="X303" s="690"/>
      <c r="Y303" s="690"/>
      <c r="Z303" s="690"/>
      <c r="AA303" s="690"/>
      <c r="AB303" s="690"/>
      <c r="AC303" s="690"/>
      <c r="AD303" s="690"/>
      <c r="AE303" s="690"/>
    </row>
    <row r="304" spans="1:31" ht="15.75" customHeight="1">
      <c r="A304" s="690"/>
      <c r="B304" s="690"/>
      <c r="C304" s="690"/>
      <c r="D304" s="690"/>
      <c r="E304" s="690"/>
      <c r="F304" s="690"/>
      <c r="G304" s="690"/>
      <c r="H304" s="690"/>
      <c r="I304" s="690"/>
      <c r="J304" s="690"/>
      <c r="K304" s="690"/>
      <c r="L304" s="690"/>
      <c r="M304" s="690"/>
      <c r="N304" s="690"/>
      <c r="O304" s="690"/>
      <c r="P304" s="690"/>
      <c r="Q304" s="690"/>
      <c r="R304" s="690"/>
      <c r="S304" s="690"/>
      <c r="T304" s="690"/>
      <c r="U304" s="690"/>
      <c r="V304" s="690"/>
      <c r="W304" s="690"/>
      <c r="X304" s="690"/>
      <c r="Y304" s="690"/>
      <c r="Z304" s="690"/>
      <c r="AA304" s="690"/>
      <c r="AB304" s="690"/>
      <c r="AC304" s="690"/>
      <c r="AD304" s="690"/>
      <c r="AE304" s="690"/>
    </row>
    <row r="305" spans="1:31" ht="15.75" customHeight="1">
      <c r="A305" s="690"/>
      <c r="B305" s="690"/>
      <c r="C305" s="690"/>
      <c r="D305" s="690"/>
      <c r="E305" s="690"/>
      <c r="F305" s="690"/>
      <c r="G305" s="690"/>
      <c r="H305" s="690"/>
      <c r="I305" s="690"/>
      <c r="J305" s="690"/>
      <c r="K305" s="690"/>
      <c r="L305" s="690"/>
      <c r="M305" s="690"/>
      <c r="N305" s="690"/>
      <c r="O305" s="690"/>
      <c r="P305" s="690"/>
      <c r="Q305" s="690"/>
      <c r="R305" s="690"/>
      <c r="S305" s="690"/>
      <c r="T305" s="690"/>
      <c r="U305" s="690"/>
      <c r="V305" s="690"/>
      <c r="W305" s="690"/>
      <c r="X305" s="690"/>
      <c r="Y305" s="690"/>
      <c r="Z305" s="690"/>
      <c r="AA305" s="690"/>
      <c r="AB305" s="690"/>
      <c r="AC305" s="690"/>
      <c r="AD305" s="690"/>
      <c r="AE305" s="690"/>
    </row>
    <row r="306" spans="1:31" ht="15.75" customHeight="1">
      <c r="A306" s="690"/>
      <c r="B306" s="690"/>
      <c r="C306" s="690"/>
      <c r="D306" s="690"/>
      <c r="E306" s="690"/>
      <c r="F306" s="690"/>
      <c r="G306" s="690"/>
      <c r="H306" s="690"/>
      <c r="I306" s="690"/>
      <c r="J306" s="690"/>
      <c r="K306" s="690"/>
      <c r="L306" s="690"/>
      <c r="M306" s="690"/>
      <c r="N306" s="690"/>
      <c r="O306" s="690"/>
      <c r="P306" s="690"/>
      <c r="Q306" s="690"/>
      <c r="R306" s="690"/>
      <c r="S306" s="690"/>
      <c r="T306" s="690"/>
      <c r="U306" s="690"/>
      <c r="V306" s="690"/>
      <c r="W306" s="690"/>
      <c r="X306" s="690"/>
      <c r="Y306" s="690"/>
      <c r="Z306" s="690"/>
      <c r="AA306" s="690"/>
      <c r="AB306" s="690"/>
      <c r="AC306" s="690"/>
      <c r="AD306" s="690"/>
      <c r="AE306" s="690"/>
    </row>
    <row r="307" spans="1:31" ht="15.75" customHeight="1">
      <c r="A307" s="690"/>
      <c r="B307" s="690"/>
      <c r="C307" s="690"/>
      <c r="D307" s="690"/>
      <c r="E307" s="690"/>
      <c r="F307" s="690"/>
      <c r="G307" s="690"/>
      <c r="H307" s="690"/>
      <c r="I307" s="690"/>
      <c r="J307" s="690"/>
      <c r="K307" s="690"/>
      <c r="L307" s="690"/>
      <c r="M307" s="690"/>
      <c r="N307" s="690"/>
      <c r="O307" s="690"/>
      <c r="P307" s="690"/>
      <c r="Q307" s="690"/>
      <c r="R307" s="690"/>
      <c r="S307" s="690"/>
      <c r="T307" s="690"/>
      <c r="U307" s="690"/>
      <c r="V307" s="690"/>
      <c r="W307" s="690"/>
      <c r="X307" s="690"/>
      <c r="Y307" s="690"/>
      <c r="Z307" s="690"/>
      <c r="AA307" s="690"/>
      <c r="AB307" s="690"/>
      <c r="AC307" s="690"/>
      <c r="AD307" s="690"/>
      <c r="AE307" s="690"/>
    </row>
    <row r="308" spans="1:31" ht="15.75" customHeight="1">
      <c r="A308" s="690"/>
      <c r="B308" s="690"/>
      <c r="C308" s="690"/>
      <c r="D308" s="690"/>
      <c r="E308" s="690"/>
      <c r="F308" s="690"/>
      <c r="G308" s="690"/>
      <c r="H308" s="690"/>
      <c r="I308" s="690"/>
      <c r="J308" s="690"/>
      <c r="K308" s="690"/>
      <c r="L308" s="690"/>
      <c r="M308" s="690"/>
      <c r="N308" s="690"/>
      <c r="O308" s="690"/>
      <c r="P308" s="690"/>
      <c r="Q308" s="690"/>
      <c r="R308" s="690"/>
      <c r="S308" s="690"/>
      <c r="T308" s="690"/>
      <c r="U308" s="690"/>
      <c r="V308" s="690"/>
      <c r="W308" s="690"/>
      <c r="X308" s="690"/>
      <c r="Y308" s="690"/>
      <c r="Z308" s="690"/>
      <c r="AA308" s="690"/>
      <c r="AB308" s="690"/>
      <c r="AC308" s="690"/>
      <c r="AD308" s="690"/>
      <c r="AE308" s="690"/>
    </row>
    <row r="309" spans="1:31" ht="15.75" customHeight="1">
      <c r="A309" s="690"/>
      <c r="B309" s="690"/>
      <c r="C309" s="690"/>
      <c r="D309" s="690"/>
      <c r="E309" s="690"/>
      <c r="F309" s="690"/>
      <c r="G309" s="690"/>
      <c r="H309" s="690"/>
      <c r="I309" s="690"/>
      <c r="J309" s="690"/>
      <c r="K309" s="690"/>
      <c r="L309" s="690"/>
      <c r="M309" s="690"/>
      <c r="N309" s="690"/>
      <c r="O309" s="690"/>
      <c r="P309" s="690"/>
      <c r="Q309" s="690"/>
      <c r="R309" s="690"/>
      <c r="S309" s="690"/>
      <c r="T309" s="690"/>
      <c r="U309" s="690"/>
      <c r="V309" s="690"/>
      <c r="W309" s="690"/>
      <c r="X309" s="690"/>
      <c r="Y309" s="690"/>
      <c r="Z309" s="690"/>
      <c r="AA309" s="690"/>
      <c r="AB309" s="690"/>
      <c r="AC309" s="690"/>
      <c r="AD309" s="690"/>
      <c r="AE309" s="690"/>
    </row>
    <row r="310" spans="1:31" ht="15.75" customHeight="1">
      <c r="A310" s="690"/>
      <c r="B310" s="690"/>
      <c r="C310" s="690"/>
      <c r="D310" s="690"/>
      <c r="E310" s="690"/>
      <c r="F310" s="690"/>
      <c r="G310" s="690"/>
      <c r="H310" s="690"/>
      <c r="I310" s="690"/>
      <c r="J310" s="690"/>
      <c r="K310" s="690"/>
      <c r="L310" s="690"/>
      <c r="M310" s="690"/>
      <c r="N310" s="690"/>
      <c r="O310" s="690"/>
      <c r="P310" s="690"/>
      <c r="Q310" s="690"/>
      <c r="R310" s="690"/>
      <c r="S310" s="690"/>
      <c r="T310" s="690"/>
      <c r="U310" s="690"/>
      <c r="V310" s="690"/>
      <c r="W310" s="690"/>
      <c r="X310" s="690"/>
      <c r="Y310" s="690"/>
      <c r="Z310" s="690"/>
      <c r="AA310" s="690"/>
      <c r="AB310" s="690"/>
      <c r="AC310" s="690"/>
      <c r="AD310" s="690"/>
      <c r="AE310" s="690"/>
    </row>
    <row r="311" spans="1:31" ht="15.75" customHeight="1">
      <c r="A311" s="690"/>
      <c r="B311" s="690"/>
      <c r="C311" s="690"/>
      <c r="D311" s="690"/>
      <c r="E311" s="690"/>
      <c r="F311" s="690"/>
      <c r="G311" s="690"/>
      <c r="H311" s="690"/>
      <c r="I311" s="690"/>
      <c r="J311" s="690"/>
      <c r="K311" s="690"/>
      <c r="L311" s="690"/>
      <c r="M311" s="690"/>
      <c r="N311" s="690"/>
      <c r="O311" s="690"/>
      <c r="P311" s="690"/>
      <c r="Q311" s="690"/>
      <c r="R311" s="690"/>
      <c r="S311" s="690"/>
      <c r="T311" s="690"/>
      <c r="U311" s="690"/>
      <c r="V311" s="690"/>
      <c r="W311" s="690"/>
      <c r="X311" s="690"/>
      <c r="Y311" s="690"/>
      <c r="Z311" s="690"/>
      <c r="AA311" s="690"/>
      <c r="AB311" s="690"/>
      <c r="AC311" s="690"/>
      <c r="AD311" s="690"/>
      <c r="AE311" s="690"/>
    </row>
    <row r="312" spans="1:31" ht="15.75" customHeight="1">
      <c r="A312" s="690"/>
      <c r="B312" s="690"/>
      <c r="C312" s="690"/>
      <c r="D312" s="690"/>
      <c r="E312" s="690"/>
      <c r="F312" s="690"/>
      <c r="G312" s="690"/>
      <c r="H312" s="690"/>
      <c r="I312" s="690"/>
      <c r="J312" s="690"/>
      <c r="K312" s="690"/>
      <c r="L312" s="690"/>
      <c r="M312" s="690"/>
      <c r="N312" s="690"/>
      <c r="O312" s="690"/>
      <c r="P312" s="690"/>
      <c r="Q312" s="690"/>
      <c r="R312" s="690"/>
      <c r="S312" s="690"/>
      <c r="T312" s="690"/>
      <c r="U312" s="690"/>
      <c r="V312" s="690"/>
      <c r="W312" s="690"/>
      <c r="X312" s="690"/>
      <c r="Y312" s="690"/>
      <c r="Z312" s="690"/>
      <c r="AA312" s="690"/>
      <c r="AB312" s="690"/>
      <c r="AC312" s="690"/>
      <c r="AD312" s="690"/>
      <c r="AE312" s="690"/>
    </row>
    <row r="313" spans="1:31" ht="15.75" customHeight="1">
      <c r="A313" s="690"/>
      <c r="B313" s="690"/>
      <c r="C313" s="690"/>
      <c r="D313" s="690"/>
      <c r="E313" s="690"/>
      <c r="F313" s="690"/>
      <c r="G313" s="690"/>
      <c r="H313" s="690"/>
      <c r="I313" s="690"/>
      <c r="J313" s="690"/>
      <c r="K313" s="690"/>
      <c r="L313" s="690"/>
      <c r="M313" s="690"/>
      <c r="N313" s="690"/>
      <c r="O313" s="690"/>
      <c r="P313" s="690"/>
      <c r="Q313" s="690"/>
      <c r="R313" s="690"/>
      <c r="S313" s="690"/>
      <c r="T313" s="690"/>
      <c r="U313" s="690"/>
      <c r="V313" s="690"/>
      <c r="W313" s="690"/>
      <c r="X313" s="690"/>
      <c r="Y313" s="690"/>
      <c r="Z313" s="690"/>
      <c r="AA313" s="690"/>
      <c r="AB313" s="690"/>
      <c r="AC313" s="690"/>
      <c r="AD313" s="690"/>
      <c r="AE313" s="690"/>
    </row>
    <row r="314" spans="1:31" ht="15.75" customHeight="1">
      <c r="A314" s="690"/>
      <c r="B314" s="690"/>
      <c r="C314" s="690"/>
      <c r="D314" s="690"/>
      <c r="E314" s="690"/>
      <c r="F314" s="690"/>
      <c r="G314" s="690"/>
      <c r="H314" s="690"/>
      <c r="I314" s="690"/>
      <c r="J314" s="690"/>
      <c r="K314" s="690"/>
      <c r="L314" s="690"/>
      <c r="M314" s="690"/>
      <c r="N314" s="690"/>
      <c r="O314" s="690"/>
      <c r="P314" s="690"/>
      <c r="Q314" s="690"/>
      <c r="R314" s="690"/>
      <c r="S314" s="690"/>
      <c r="T314" s="690"/>
      <c r="U314" s="690"/>
      <c r="V314" s="690"/>
      <c r="W314" s="690"/>
      <c r="X314" s="690"/>
      <c r="Y314" s="690"/>
      <c r="Z314" s="690"/>
      <c r="AA314" s="690"/>
      <c r="AB314" s="690"/>
      <c r="AC314" s="690"/>
      <c r="AD314" s="690"/>
      <c r="AE314" s="690"/>
    </row>
    <row r="315" spans="1:31" ht="15.75" customHeight="1">
      <c r="A315" s="690"/>
      <c r="B315" s="690"/>
      <c r="C315" s="690"/>
      <c r="D315" s="690"/>
      <c r="E315" s="690"/>
      <c r="F315" s="690"/>
      <c r="G315" s="690"/>
      <c r="H315" s="690"/>
      <c r="I315" s="690"/>
      <c r="J315" s="690"/>
      <c r="K315" s="690"/>
      <c r="L315" s="690"/>
      <c r="M315" s="690"/>
      <c r="N315" s="690"/>
      <c r="O315" s="690"/>
      <c r="P315" s="690"/>
      <c r="Q315" s="690"/>
      <c r="R315" s="690"/>
      <c r="S315" s="690"/>
      <c r="T315" s="690"/>
      <c r="U315" s="690"/>
      <c r="V315" s="690"/>
      <c r="W315" s="690"/>
      <c r="X315" s="690"/>
      <c r="Y315" s="690"/>
      <c r="Z315" s="690"/>
      <c r="AA315" s="690"/>
      <c r="AB315" s="690"/>
      <c r="AC315" s="690"/>
      <c r="AD315" s="690"/>
      <c r="AE315" s="690"/>
    </row>
    <row r="316" spans="1:31" ht="15.75" customHeight="1">
      <c r="A316" s="690"/>
      <c r="B316" s="690"/>
      <c r="C316" s="690"/>
      <c r="D316" s="690"/>
      <c r="E316" s="690"/>
      <c r="F316" s="690"/>
      <c r="G316" s="690"/>
      <c r="H316" s="690"/>
      <c r="I316" s="690"/>
      <c r="J316" s="690"/>
      <c r="K316" s="690"/>
      <c r="L316" s="690"/>
      <c r="M316" s="690"/>
      <c r="N316" s="690"/>
      <c r="O316" s="690"/>
      <c r="P316" s="690"/>
      <c r="Q316" s="690"/>
      <c r="R316" s="690"/>
      <c r="S316" s="690"/>
      <c r="T316" s="690"/>
      <c r="U316" s="690"/>
      <c r="V316" s="690"/>
      <c r="W316" s="690"/>
      <c r="X316" s="690"/>
      <c r="Y316" s="690"/>
      <c r="Z316" s="690"/>
      <c r="AA316" s="690"/>
      <c r="AB316" s="690"/>
      <c r="AC316" s="690"/>
      <c r="AD316" s="690"/>
      <c r="AE316" s="690"/>
    </row>
    <row r="317" spans="1:31" ht="15.75" customHeight="1">
      <c r="A317" s="690"/>
      <c r="B317" s="690"/>
      <c r="C317" s="690"/>
      <c r="D317" s="690"/>
      <c r="E317" s="690"/>
      <c r="F317" s="690"/>
      <c r="G317" s="690"/>
      <c r="H317" s="690"/>
      <c r="I317" s="690"/>
      <c r="J317" s="690"/>
      <c r="K317" s="690"/>
      <c r="L317" s="690"/>
      <c r="M317" s="690"/>
      <c r="N317" s="690"/>
      <c r="O317" s="690"/>
      <c r="P317" s="690"/>
      <c r="Q317" s="690"/>
      <c r="R317" s="690"/>
      <c r="S317" s="690"/>
      <c r="T317" s="690"/>
      <c r="U317" s="690"/>
      <c r="V317" s="690"/>
      <c r="W317" s="690"/>
      <c r="X317" s="690"/>
      <c r="Y317" s="690"/>
      <c r="Z317" s="690"/>
      <c r="AA317" s="690"/>
      <c r="AB317" s="690"/>
      <c r="AC317" s="690"/>
      <c r="AD317" s="690"/>
      <c r="AE317" s="690"/>
    </row>
    <row r="318" spans="1:31" ht="15.75" customHeight="1">
      <c r="A318" s="690"/>
      <c r="B318" s="690"/>
      <c r="C318" s="690"/>
      <c r="D318" s="690"/>
      <c r="E318" s="690"/>
      <c r="F318" s="690"/>
      <c r="G318" s="690"/>
      <c r="H318" s="690"/>
      <c r="I318" s="690"/>
      <c r="J318" s="690"/>
      <c r="K318" s="690"/>
      <c r="L318" s="690"/>
      <c r="M318" s="690"/>
      <c r="N318" s="690"/>
      <c r="O318" s="690"/>
      <c r="P318" s="690"/>
      <c r="Q318" s="690"/>
      <c r="R318" s="690"/>
      <c r="S318" s="690"/>
      <c r="T318" s="690"/>
      <c r="U318" s="690"/>
      <c r="V318" s="690"/>
      <c r="W318" s="690"/>
      <c r="X318" s="690"/>
      <c r="Y318" s="690"/>
      <c r="Z318" s="690"/>
      <c r="AA318" s="690"/>
      <c r="AB318" s="690"/>
      <c r="AC318" s="690"/>
      <c r="AD318" s="690"/>
      <c r="AE318" s="690"/>
    </row>
    <row r="319" spans="1:31" ht="15.75" customHeight="1">
      <c r="A319" s="690"/>
      <c r="B319" s="690"/>
      <c r="C319" s="690"/>
      <c r="D319" s="690"/>
      <c r="E319" s="690"/>
      <c r="F319" s="690"/>
      <c r="G319" s="690"/>
      <c r="H319" s="690"/>
      <c r="I319" s="690"/>
      <c r="J319" s="690"/>
      <c r="K319" s="690"/>
      <c r="L319" s="690"/>
      <c r="M319" s="690"/>
      <c r="N319" s="690"/>
      <c r="O319" s="690"/>
      <c r="P319" s="690"/>
      <c r="Q319" s="690"/>
      <c r="R319" s="690"/>
      <c r="S319" s="690"/>
      <c r="T319" s="690"/>
      <c r="U319" s="690"/>
      <c r="V319" s="690"/>
      <c r="W319" s="690"/>
      <c r="X319" s="690"/>
      <c r="Y319" s="690"/>
      <c r="Z319" s="690"/>
      <c r="AA319" s="690"/>
      <c r="AB319" s="690"/>
      <c r="AC319" s="690"/>
      <c r="AD319" s="690"/>
      <c r="AE319" s="690"/>
    </row>
    <row r="320" spans="1:31" ht="15.75" customHeight="1">
      <c r="A320" s="690"/>
      <c r="B320" s="690"/>
      <c r="C320" s="690"/>
      <c r="D320" s="690"/>
      <c r="E320" s="690"/>
      <c r="F320" s="690"/>
      <c r="G320" s="690"/>
      <c r="H320" s="690"/>
      <c r="I320" s="690"/>
      <c r="J320" s="690"/>
      <c r="K320" s="690"/>
      <c r="L320" s="690"/>
      <c r="M320" s="690"/>
      <c r="N320" s="690"/>
      <c r="O320" s="690"/>
      <c r="P320" s="690"/>
      <c r="Q320" s="690"/>
      <c r="R320" s="690"/>
      <c r="S320" s="690"/>
      <c r="T320" s="690"/>
      <c r="U320" s="690"/>
      <c r="V320" s="690"/>
      <c r="W320" s="690"/>
      <c r="X320" s="690"/>
      <c r="Y320" s="690"/>
      <c r="Z320" s="690"/>
      <c r="AA320" s="690"/>
      <c r="AB320" s="690"/>
      <c r="AC320" s="690"/>
      <c r="AD320" s="690"/>
      <c r="AE320" s="690"/>
    </row>
    <row r="321" spans="1:31" ht="15.75" customHeight="1">
      <c r="A321" s="690"/>
      <c r="B321" s="690"/>
      <c r="C321" s="690"/>
      <c r="D321" s="690"/>
      <c r="E321" s="690"/>
      <c r="F321" s="690"/>
      <c r="G321" s="690"/>
      <c r="H321" s="690"/>
      <c r="I321" s="690"/>
      <c r="J321" s="690"/>
      <c r="K321" s="690"/>
      <c r="L321" s="690"/>
      <c r="M321" s="690"/>
      <c r="N321" s="690"/>
      <c r="O321" s="690"/>
      <c r="P321" s="690"/>
      <c r="Q321" s="690"/>
      <c r="R321" s="690"/>
      <c r="S321" s="690"/>
      <c r="T321" s="690"/>
      <c r="U321" s="690"/>
      <c r="V321" s="690"/>
      <c r="W321" s="690"/>
      <c r="X321" s="690"/>
      <c r="Y321" s="690"/>
      <c r="Z321" s="690"/>
      <c r="AA321" s="690"/>
      <c r="AB321" s="690"/>
      <c r="AC321" s="690"/>
      <c r="AD321" s="690"/>
      <c r="AE321" s="690"/>
    </row>
    <row r="322" spans="1:31" ht="15.75" customHeight="1">
      <c r="A322" s="690"/>
      <c r="B322" s="690"/>
      <c r="C322" s="690"/>
      <c r="D322" s="690"/>
      <c r="E322" s="690"/>
      <c r="F322" s="690"/>
      <c r="G322" s="690"/>
      <c r="H322" s="690"/>
      <c r="I322" s="690"/>
      <c r="J322" s="690"/>
      <c r="K322" s="690"/>
      <c r="L322" s="690"/>
      <c r="M322" s="690"/>
      <c r="N322" s="690"/>
      <c r="O322" s="690"/>
      <c r="P322" s="690"/>
      <c r="Q322" s="690"/>
      <c r="R322" s="690"/>
      <c r="S322" s="690"/>
      <c r="T322" s="690"/>
      <c r="U322" s="690"/>
      <c r="V322" s="690"/>
      <c r="W322" s="690"/>
      <c r="X322" s="690"/>
      <c r="Y322" s="690"/>
      <c r="Z322" s="690"/>
      <c r="AA322" s="690"/>
      <c r="AB322" s="690"/>
      <c r="AC322" s="690"/>
      <c r="AD322" s="690"/>
      <c r="AE322" s="690"/>
    </row>
    <row r="323" spans="1:31" ht="15.75" customHeight="1">
      <c r="A323" s="690"/>
      <c r="B323" s="690"/>
      <c r="C323" s="690"/>
      <c r="D323" s="690"/>
      <c r="E323" s="690"/>
      <c r="F323" s="690"/>
      <c r="G323" s="690"/>
      <c r="H323" s="690"/>
      <c r="I323" s="690"/>
      <c r="J323" s="690"/>
      <c r="K323" s="690"/>
      <c r="L323" s="690"/>
      <c r="M323" s="690"/>
      <c r="N323" s="690"/>
      <c r="O323" s="690"/>
      <c r="P323" s="690"/>
      <c r="Q323" s="690"/>
      <c r="R323" s="690"/>
      <c r="S323" s="690"/>
      <c r="T323" s="690"/>
      <c r="U323" s="690"/>
      <c r="V323" s="690"/>
      <c r="W323" s="690"/>
      <c r="X323" s="690"/>
      <c r="Y323" s="690"/>
      <c r="Z323" s="690"/>
      <c r="AA323" s="690"/>
      <c r="AB323" s="690"/>
      <c r="AC323" s="690"/>
      <c r="AD323" s="690"/>
      <c r="AE323" s="690"/>
    </row>
    <row r="324" spans="1:31" ht="15.75" customHeight="1">
      <c r="A324" s="690"/>
      <c r="B324" s="690"/>
      <c r="C324" s="690"/>
      <c r="D324" s="690"/>
      <c r="E324" s="690"/>
      <c r="F324" s="690"/>
      <c r="G324" s="690"/>
      <c r="H324" s="690"/>
      <c r="I324" s="690"/>
      <c r="J324" s="690"/>
      <c r="K324" s="690"/>
      <c r="L324" s="690"/>
      <c r="M324" s="690"/>
      <c r="N324" s="690"/>
      <c r="O324" s="690"/>
      <c r="P324" s="690"/>
      <c r="Q324" s="690"/>
      <c r="R324" s="690"/>
      <c r="S324" s="690"/>
      <c r="T324" s="690"/>
      <c r="U324" s="690"/>
      <c r="V324" s="690"/>
      <c r="W324" s="690"/>
      <c r="X324" s="690"/>
      <c r="Y324" s="690"/>
      <c r="Z324" s="690"/>
      <c r="AA324" s="690"/>
      <c r="AB324" s="690"/>
      <c r="AC324" s="690"/>
      <c r="AD324" s="690"/>
      <c r="AE324" s="690"/>
    </row>
    <row r="325" spans="1:31" ht="15.75" customHeight="1">
      <c r="A325" s="690"/>
      <c r="B325" s="690"/>
      <c r="C325" s="690"/>
      <c r="D325" s="690"/>
      <c r="E325" s="690"/>
      <c r="F325" s="690"/>
      <c r="G325" s="690"/>
      <c r="H325" s="690"/>
      <c r="I325" s="690"/>
      <c r="J325" s="690"/>
      <c r="K325" s="690"/>
      <c r="L325" s="690"/>
      <c r="M325" s="690"/>
      <c r="N325" s="690"/>
      <c r="O325" s="690"/>
      <c r="P325" s="690"/>
      <c r="Q325" s="690"/>
      <c r="R325" s="690"/>
      <c r="S325" s="690"/>
      <c r="T325" s="690"/>
      <c r="U325" s="690"/>
      <c r="V325" s="690"/>
      <c r="W325" s="690"/>
      <c r="X325" s="690"/>
      <c r="Y325" s="690"/>
      <c r="Z325" s="690"/>
      <c r="AA325" s="690"/>
      <c r="AB325" s="690"/>
      <c r="AC325" s="690"/>
      <c r="AD325" s="690"/>
      <c r="AE325" s="690"/>
    </row>
    <row r="326" spans="1:31" ht="15.75" customHeight="1">
      <c r="A326" s="690"/>
      <c r="B326" s="690"/>
      <c r="C326" s="690"/>
      <c r="D326" s="690"/>
      <c r="E326" s="690"/>
      <c r="F326" s="690"/>
      <c r="G326" s="690"/>
      <c r="H326" s="690"/>
      <c r="I326" s="690"/>
      <c r="J326" s="690"/>
      <c r="K326" s="690"/>
      <c r="L326" s="690"/>
      <c r="M326" s="690"/>
      <c r="N326" s="690"/>
      <c r="O326" s="690"/>
      <c r="P326" s="690"/>
      <c r="Q326" s="690"/>
      <c r="R326" s="690"/>
      <c r="S326" s="690"/>
      <c r="T326" s="690"/>
      <c r="U326" s="690"/>
      <c r="V326" s="690"/>
      <c r="W326" s="690"/>
      <c r="X326" s="690"/>
      <c r="Y326" s="690"/>
      <c r="Z326" s="690"/>
      <c r="AA326" s="690"/>
      <c r="AB326" s="690"/>
      <c r="AC326" s="690"/>
      <c r="AD326" s="690"/>
      <c r="AE326" s="690"/>
    </row>
    <row r="327" spans="1:31" ht="15.75" customHeight="1">
      <c r="A327" s="690"/>
      <c r="B327" s="690"/>
      <c r="C327" s="690"/>
      <c r="D327" s="690"/>
      <c r="E327" s="690"/>
      <c r="F327" s="690"/>
      <c r="G327" s="690"/>
      <c r="H327" s="690"/>
      <c r="I327" s="690"/>
      <c r="J327" s="690"/>
      <c r="K327" s="690"/>
      <c r="L327" s="690"/>
      <c r="M327" s="690"/>
      <c r="N327" s="690"/>
      <c r="O327" s="690"/>
      <c r="P327" s="690"/>
      <c r="Q327" s="690"/>
      <c r="R327" s="690"/>
      <c r="S327" s="690"/>
      <c r="T327" s="690"/>
      <c r="U327" s="690"/>
      <c r="V327" s="690"/>
      <c r="W327" s="690"/>
      <c r="X327" s="690"/>
      <c r="Y327" s="690"/>
      <c r="Z327" s="690"/>
      <c r="AA327" s="690"/>
      <c r="AB327" s="690"/>
      <c r="AC327" s="690"/>
      <c r="AD327" s="690"/>
      <c r="AE327" s="690"/>
    </row>
    <row r="328" spans="1:31" ht="15.75" customHeight="1">
      <c r="A328" s="690"/>
      <c r="B328" s="690"/>
      <c r="C328" s="690"/>
      <c r="D328" s="690"/>
      <c r="E328" s="690"/>
      <c r="F328" s="690"/>
      <c r="G328" s="690"/>
      <c r="H328" s="690"/>
      <c r="I328" s="690"/>
      <c r="J328" s="690"/>
      <c r="K328" s="690"/>
      <c r="L328" s="690"/>
      <c r="M328" s="690"/>
      <c r="N328" s="690"/>
      <c r="O328" s="690"/>
      <c r="P328" s="690"/>
      <c r="Q328" s="690"/>
      <c r="R328" s="690"/>
      <c r="S328" s="690"/>
      <c r="T328" s="690"/>
      <c r="U328" s="690"/>
      <c r="V328" s="690"/>
      <c r="W328" s="690"/>
      <c r="X328" s="690"/>
      <c r="Y328" s="690"/>
      <c r="Z328" s="690"/>
      <c r="AA328" s="690"/>
      <c r="AB328" s="690"/>
      <c r="AC328" s="690"/>
      <c r="AD328" s="690"/>
      <c r="AE328" s="690"/>
    </row>
    <row r="329" spans="1:31" ht="15.75" customHeight="1">
      <c r="A329" s="690"/>
      <c r="B329" s="690"/>
      <c r="C329" s="690"/>
      <c r="D329" s="690"/>
      <c r="E329" s="690"/>
      <c r="F329" s="690"/>
      <c r="G329" s="690"/>
      <c r="H329" s="690"/>
      <c r="I329" s="690"/>
      <c r="J329" s="690"/>
      <c r="K329" s="690"/>
      <c r="L329" s="690"/>
      <c r="M329" s="690"/>
      <c r="N329" s="690"/>
      <c r="O329" s="690"/>
      <c r="P329" s="690"/>
      <c r="Q329" s="690"/>
      <c r="R329" s="690"/>
      <c r="S329" s="690"/>
      <c r="T329" s="690"/>
      <c r="U329" s="690"/>
      <c r="V329" s="690"/>
      <c r="W329" s="690"/>
      <c r="X329" s="690"/>
      <c r="Y329" s="690"/>
      <c r="Z329" s="690"/>
      <c r="AA329" s="690"/>
      <c r="AB329" s="690"/>
      <c r="AC329" s="690"/>
      <c r="AD329" s="690"/>
      <c r="AE329" s="690"/>
    </row>
    <row r="330" spans="1:31" ht="15.75" customHeight="1">
      <c r="A330" s="690"/>
      <c r="B330" s="690"/>
      <c r="C330" s="690"/>
      <c r="D330" s="690"/>
      <c r="E330" s="690"/>
      <c r="F330" s="690"/>
      <c r="G330" s="690"/>
      <c r="H330" s="690"/>
      <c r="I330" s="690"/>
      <c r="J330" s="690"/>
      <c r="K330" s="690"/>
      <c r="L330" s="690"/>
      <c r="M330" s="690"/>
      <c r="N330" s="690"/>
      <c r="O330" s="690"/>
      <c r="P330" s="690"/>
      <c r="Q330" s="690"/>
      <c r="R330" s="690"/>
      <c r="S330" s="690"/>
      <c r="T330" s="690"/>
      <c r="U330" s="690"/>
      <c r="V330" s="690"/>
      <c r="W330" s="690"/>
      <c r="X330" s="690"/>
      <c r="Y330" s="690"/>
      <c r="Z330" s="690"/>
      <c r="AA330" s="690"/>
      <c r="AB330" s="690"/>
      <c r="AC330" s="690"/>
      <c r="AD330" s="690"/>
      <c r="AE330" s="690"/>
    </row>
    <row r="331" spans="1:31" ht="15.75" customHeight="1">
      <c r="A331" s="690"/>
      <c r="B331" s="690"/>
      <c r="C331" s="690"/>
      <c r="D331" s="690"/>
      <c r="E331" s="690"/>
      <c r="F331" s="690"/>
      <c r="G331" s="690"/>
      <c r="H331" s="690"/>
      <c r="I331" s="690"/>
      <c r="J331" s="690"/>
      <c r="K331" s="690"/>
      <c r="L331" s="690"/>
      <c r="M331" s="690"/>
      <c r="N331" s="690"/>
      <c r="O331" s="690"/>
      <c r="P331" s="690"/>
      <c r="Q331" s="690"/>
      <c r="R331" s="690"/>
      <c r="S331" s="690"/>
      <c r="T331" s="690"/>
      <c r="U331" s="690"/>
      <c r="V331" s="690"/>
      <c r="W331" s="690"/>
      <c r="X331" s="690"/>
      <c r="Y331" s="690"/>
      <c r="Z331" s="690"/>
      <c r="AA331" s="690"/>
      <c r="AB331" s="690"/>
      <c r="AC331" s="690"/>
      <c r="AD331" s="690"/>
      <c r="AE331" s="690"/>
    </row>
    <row r="332" spans="1:31" ht="15.75" customHeight="1">
      <c r="A332" s="690"/>
      <c r="B332" s="690"/>
      <c r="C332" s="690"/>
      <c r="D332" s="690"/>
      <c r="E332" s="690"/>
      <c r="F332" s="690"/>
      <c r="G332" s="690"/>
      <c r="H332" s="690"/>
      <c r="I332" s="690"/>
      <c r="J332" s="690"/>
      <c r="K332" s="690"/>
      <c r="L332" s="690"/>
      <c r="M332" s="690"/>
      <c r="N332" s="690"/>
      <c r="O332" s="690"/>
      <c r="P332" s="690"/>
      <c r="Q332" s="690"/>
      <c r="R332" s="690"/>
      <c r="S332" s="690"/>
      <c r="T332" s="690"/>
      <c r="U332" s="690"/>
      <c r="V332" s="690"/>
      <c r="W332" s="690"/>
      <c r="X332" s="690"/>
      <c r="Y332" s="690"/>
      <c r="Z332" s="690"/>
      <c r="AA332" s="690"/>
      <c r="AB332" s="690"/>
      <c r="AC332" s="690"/>
      <c r="AD332" s="690"/>
      <c r="AE332" s="690"/>
    </row>
    <row r="333" spans="1:31" ht="15.75" customHeight="1">
      <c r="A333" s="690"/>
      <c r="B333" s="690"/>
      <c r="C333" s="690"/>
      <c r="D333" s="690"/>
      <c r="E333" s="690"/>
      <c r="F333" s="690"/>
      <c r="G333" s="690"/>
      <c r="H333" s="690"/>
      <c r="I333" s="690"/>
      <c r="J333" s="690"/>
      <c r="K333" s="690"/>
      <c r="L333" s="690"/>
      <c r="M333" s="690"/>
      <c r="N333" s="690"/>
      <c r="O333" s="690"/>
      <c r="P333" s="690"/>
      <c r="Q333" s="690"/>
      <c r="R333" s="690"/>
      <c r="S333" s="690"/>
      <c r="T333" s="690"/>
      <c r="U333" s="690"/>
      <c r="V333" s="690"/>
      <c r="W333" s="690"/>
      <c r="X333" s="690"/>
      <c r="Y333" s="690"/>
      <c r="Z333" s="690"/>
      <c r="AA333" s="690"/>
      <c r="AB333" s="690"/>
      <c r="AC333" s="690"/>
      <c r="AD333" s="690"/>
      <c r="AE333" s="690"/>
    </row>
    <row r="334" spans="1:31" ht="15.75" customHeight="1">
      <c r="A334" s="690"/>
      <c r="B334" s="690"/>
      <c r="C334" s="690"/>
      <c r="D334" s="690"/>
      <c r="E334" s="690"/>
      <c r="F334" s="690"/>
      <c r="G334" s="690"/>
      <c r="H334" s="690"/>
      <c r="I334" s="690"/>
      <c r="J334" s="690"/>
      <c r="K334" s="690"/>
      <c r="L334" s="690"/>
      <c r="M334" s="690"/>
      <c r="N334" s="690"/>
      <c r="O334" s="690"/>
      <c r="P334" s="690"/>
      <c r="Q334" s="690"/>
      <c r="R334" s="690"/>
      <c r="S334" s="690"/>
      <c r="T334" s="690"/>
      <c r="U334" s="690"/>
      <c r="V334" s="690"/>
      <c r="W334" s="690"/>
      <c r="X334" s="690"/>
      <c r="Y334" s="690"/>
      <c r="Z334" s="690"/>
      <c r="AA334" s="690"/>
      <c r="AB334" s="690"/>
      <c r="AC334" s="690"/>
      <c r="AD334" s="690"/>
      <c r="AE334" s="690"/>
    </row>
    <row r="335" spans="1:31" ht="15.75" customHeight="1">
      <c r="A335" s="690"/>
      <c r="B335" s="690"/>
      <c r="C335" s="690"/>
      <c r="D335" s="690"/>
      <c r="E335" s="690"/>
      <c r="F335" s="690"/>
      <c r="G335" s="690"/>
      <c r="H335" s="690"/>
      <c r="I335" s="690"/>
      <c r="J335" s="690"/>
      <c r="K335" s="690"/>
      <c r="L335" s="690"/>
      <c r="M335" s="690"/>
      <c r="N335" s="690"/>
      <c r="O335" s="690"/>
      <c r="P335" s="690"/>
      <c r="Q335" s="690"/>
      <c r="R335" s="690"/>
      <c r="S335" s="690"/>
      <c r="T335" s="690"/>
      <c r="U335" s="690"/>
      <c r="V335" s="690"/>
      <c r="W335" s="690"/>
      <c r="X335" s="690"/>
      <c r="Y335" s="690"/>
      <c r="Z335" s="690"/>
      <c r="AA335" s="690"/>
      <c r="AB335" s="690"/>
      <c r="AC335" s="690"/>
      <c r="AD335" s="690"/>
      <c r="AE335" s="690"/>
    </row>
    <row r="336" spans="1:31" ht="15.75" customHeight="1">
      <c r="A336" s="690"/>
      <c r="B336" s="690"/>
      <c r="C336" s="690"/>
      <c r="D336" s="690"/>
      <c r="E336" s="690"/>
      <c r="F336" s="690"/>
      <c r="G336" s="690"/>
      <c r="H336" s="690"/>
      <c r="I336" s="690"/>
      <c r="J336" s="690"/>
      <c r="K336" s="690"/>
      <c r="L336" s="690"/>
      <c r="M336" s="690"/>
      <c r="N336" s="690"/>
      <c r="O336" s="690"/>
      <c r="P336" s="690"/>
      <c r="Q336" s="690"/>
      <c r="R336" s="690"/>
      <c r="S336" s="690"/>
      <c r="T336" s="690"/>
      <c r="U336" s="690"/>
      <c r="V336" s="690"/>
      <c r="W336" s="690"/>
      <c r="X336" s="690"/>
      <c r="Y336" s="690"/>
      <c r="Z336" s="690"/>
      <c r="AA336" s="690"/>
      <c r="AB336" s="690"/>
      <c r="AC336" s="690"/>
      <c r="AD336" s="690"/>
      <c r="AE336" s="690"/>
    </row>
    <row r="337" spans="1:31" ht="15.75" customHeight="1">
      <c r="A337" s="690"/>
      <c r="B337" s="690"/>
      <c r="C337" s="690"/>
      <c r="D337" s="690"/>
      <c r="E337" s="690"/>
      <c r="F337" s="690"/>
      <c r="G337" s="690"/>
      <c r="H337" s="690"/>
      <c r="I337" s="690"/>
      <c r="J337" s="690"/>
      <c r="K337" s="690"/>
      <c r="L337" s="690"/>
      <c r="M337" s="690"/>
      <c r="N337" s="690"/>
      <c r="O337" s="690"/>
      <c r="P337" s="690"/>
      <c r="Q337" s="690"/>
      <c r="R337" s="690"/>
      <c r="S337" s="690"/>
      <c r="T337" s="690"/>
      <c r="U337" s="690"/>
      <c r="V337" s="690"/>
      <c r="W337" s="690"/>
      <c r="X337" s="690"/>
      <c r="Y337" s="690"/>
      <c r="Z337" s="690"/>
      <c r="AA337" s="690"/>
      <c r="AB337" s="690"/>
      <c r="AC337" s="690"/>
      <c r="AD337" s="690"/>
      <c r="AE337" s="690"/>
    </row>
    <row r="338" spans="1:31" ht="15.75" customHeight="1">
      <c r="A338" s="690"/>
      <c r="B338" s="690"/>
      <c r="C338" s="690"/>
      <c r="D338" s="690"/>
      <c r="E338" s="690"/>
      <c r="F338" s="690"/>
      <c r="G338" s="690"/>
      <c r="H338" s="690"/>
      <c r="I338" s="690"/>
      <c r="J338" s="690"/>
      <c r="K338" s="690"/>
      <c r="L338" s="690"/>
      <c r="M338" s="690"/>
      <c r="N338" s="690"/>
      <c r="O338" s="690"/>
      <c r="P338" s="690"/>
      <c r="Q338" s="690"/>
      <c r="R338" s="690"/>
      <c r="S338" s="690"/>
      <c r="T338" s="690"/>
      <c r="U338" s="690"/>
      <c r="V338" s="690"/>
      <c r="W338" s="690"/>
      <c r="X338" s="690"/>
      <c r="Y338" s="690"/>
      <c r="Z338" s="690"/>
      <c r="AA338" s="690"/>
      <c r="AB338" s="690"/>
      <c r="AC338" s="690"/>
      <c r="AD338" s="690"/>
      <c r="AE338" s="690"/>
    </row>
    <row r="339" spans="1:31" ht="15.75" customHeight="1">
      <c r="A339" s="690"/>
      <c r="B339" s="690"/>
      <c r="C339" s="690"/>
      <c r="D339" s="690"/>
      <c r="E339" s="690"/>
      <c r="F339" s="690"/>
      <c r="G339" s="690"/>
      <c r="H339" s="690"/>
      <c r="I339" s="690"/>
      <c r="J339" s="690"/>
      <c r="K339" s="690"/>
      <c r="L339" s="690"/>
      <c r="M339" s="690"/>
      <c r="N339" s="690"/>
      <c r="O339" s="690"/>
      <c r="P339" s="690"/>
      <c r="Q339" s="690"/>
      <c r="R339" s="690"/>
      <c r="S339" s="690"/>
      <c r="T339" s="690"/>
      <c r="U339" s="690"/>
      <c r="V339" s="690"/>
      <c r="W339" s="690"/>
      <c r="X339" s="690"/>
      <c r="Y339" s="690"/>
      <c r="Z339" s="690"/>
      <c r="AA339" s="690"/>
      <c r="AB339" s="690"/>
      <c r="AC339" s="690"/>
      <c r="AD339" s="690"/>
      <c r="AE339" s="690"/>
    </row>
    <row r="340" spans="1:31" ht="15.75" customHeight="1">
      <c r="A340" s="690"/>
      <c r="B340" s="690"/>
      <c r="C340" s="690"/>
      <c r="D340" s="690"/>
      <c r="E340" s="690"/>
      <c r="F340" s="690"/>
      <c r="G340" s="690"/>
      <c r="H340" s="690"/>
      <c r="I340" s="690"/>
      <c r="J340" s="690"/>
      <c r="K340" s="690"/>
      <c r="L340" s="690"/>
      <c r="M340" s="690"/>
      <c r="N340" s="690"/>
      <c r="O340" s="690"/>
      <c r="P340" s="690"/>
      <c r="Q340" s="690"/>
      <c r="R340" s="690"/>
      <c r="S340" s="690"/>
      <c r="T340" s="690"/>
      <c r="U340" s="690"/>
      <c r="V340" s="690"/>
      <c r="W340" s="690"/>
      <c r="X340" s="690"/>
      <c r="Y340" s="690"/>
      <c r="Z340" s="690"/>
      <c r="AA340" s="690"/>
      <c r="AB340" s="690"/>
      <c r="AC340" s="690"/>
      <c r="AD340" s="690"/>
      <c r="AE340" s="690"/>
    </row>
    <row r="341" spans="1:31" ht="15.75" customHeight="1">
      <c r="A341" s="690"/>
      <c r="B341" s="690"/>
      <c r="C341" s="690"/>
      <c r="D341" s="690"/>
      <c r="E341" s="690"/>
      <c r="F341" s="690"/>
      <c r="G341" s="690"/>
      <c r="H341" s="690"/>
      <c r="I341" s="690"/>
      <c r="J341" s="690"/>
      <c r="K341" s="690"/>
      <c r="L341" s="690"/>
      <c r="M341" s="690"/>
      <c r="N341" s="690"/>
      <c r="O341" s="690"/>
      <c r="P341" s="690"/>
      <c r="Q341" s="690"/>
      <c r="R341" s="690"/>
      <c r="S341" s="690"/>
      <c r="T341" s="690"/>
      <c r="U341" s="690"/>
      <c r="V341" s="690"/>
      <c r="W341" s="690"/>
      <c r="X341" s="690"/>
      <c r="Y341" s="690"/>
      <c r="Z341" s="690"/>
      <c r="AA341" s="690"/>
      <c r="AB341" s="690"/>
      <c r="AC341" s="690"/>
      <c r="AD341" s="690"/>
      <c r="AE341" s="690"/>
    </row>
    <row r="342" spans="1:31" ht="15.75" customHeight="1">
      <c r="A342" s="690"/>
      <c r="B342" s="690"/>
      <c r="C342" s="690"/>
      <c r="D342" s="690"/>
      <c r="E342" s="690"/>
      <c r="F342" s="690"/>
      <c r="G342" s="690"/>
      <c r="H342" s="690"/>
      <c r="I342" s="690"/>
      <c r="J342" s="690"/>
      <c r="K342" s="690"/>
      <c r="L342" s="690"/>
      <c r="M342" s="690"/>
      <c r="N342" s="690"/>
      <c r="O342" s="690"/>
      <c r="P342" s="690"/>
      <c r="Q342" s="690"/>
      <c r="R342" s="690"/>
      <c r="S342" s="690"/>
      <c r="T342" s="690"/>
      <c r="U342" s="690"/>
      <c r="V342" s="690"/>
      <c r="W342" s="690"/>
      <c r="X342" s="690"/>
      <c r="Y342" s="690"/>
      <c r="Z342" s="690"/>
      <c r="AA342" s="690"/>
      <c r="AB342" s="690"/>
      <c r="AC342" s="690"/>
      <c r="AD342" s="690"/>
      <c r="AE342" s="690"/>
    </row>
    <row r="343" spans="1:31" ht="15.75" customHeight="1">
      <c r="A343" s="690"/>
      <c r="B343" s="690"/>
      <c r="C343" s="690"/>
      <c r="D343" s="690"/>
      <c r="E343" s="690"/>
      <c r="F343" s="690"/>
      <c r="G343" s="690"/>
      <c r="H343" s="690"/>
      <c r="I343" s="690"/>
      <c r="J343" s="690"/>
      <c r="K343" s="690"/>
      <c r="L343" s="690"/>
      <c r="M343" s="690"/>
      <c r="N343" s="690"/>
      <c r="O343" s="690"/>
      <c r="P343" s="690"/>
      <c r="Q343" s="690"/>
      <c r="R343" s="690"/>
      <c r="S343" s="690"/>
      <c r="T343" s="690"/>
      <c r="U343" s="690"/>
      <c r="V343" s="690"/>
      <c r="W343" s="690"/>
      <c r="X343" s="690"/>
      <c r="Y343" s="690"/>
      <c r="Z343" s="690"/>
      <c r="AA343" s="690"/>
      <c r="AB343" s="690"/>
      <c r="AC343" s="690"/>
      <c r="AD343" s="690"/>
      <c r="AE343" s="690"/>
    </row>
    <row r="344" spans="1:31" ht="15.75" customHeight="1">
      <c r="A344" s="690"/>
      <c r="B344" s="690"/>
      <c r="C344" s="690"/>
      <c r="D344" s="690"/>
      <c r="E344" s="690"/>
      <c r="F344" s="690"/>
      <c r="G344" s="690"/>
      <c r="H344" s="690"/>
      <c r="I344" s="690"/>
      <c r="J344" s="690"/>
      <c r="K344" s="690"/>
      <c r="L344" s="690"/>
      <c r="M344" s="690"/>
      <c r="N344" s="690"/>
      <c r="O344" s="690"/>
      <c r="P344" s="690"/>
      <c r="Q344" s="690"/>
      <c r="R344" s="690"/>
      <c r="S344" s="690"/>
      <c r="T344" s="690"/>
      <c r="U344" s="690"/>
      <c r="V344" s="690"/>
      <c r="W344" s="690"/>
      <c r="X344" s="690"/>
      <c r="Y344" s="690"/>
      <c r="Z344" s="690"/>
      <c r="AA344" s="690"/>
      <c r="AB344" s="690"/>
      <c r="AC344" s="690"/>
      <c r="AD344" s="690"/>
      <c r="AE344" s="690"/>
    </row>
    <row r="345" spans="1:31" ht="15.75" customHeight="1">
      <c r="A345" s="690"/>
      <c r="B345" s="690"/>
      <c r="C345" s="690"/>
      <c r="D345" s="690"/>
      <c r="E345" s="690"/>
      <c r="F345" s="690"/>
      <c r="G345" s="690"/>
      <c r="H345" s="690"/>
      <c r="I345" s="690"/>
      <c r="J345" s="690"/>
      <c r="K345" s="690"/>
      <c r="L345" s="690"/>
      <c r="M345" s="690"/>
      <c r="N345" s="690"/>
      <c r="O345" s="690"/>
      <c r="P345" s="690"/>
      <c r="Q345" s="690"/>
      <c r="R345" s="690"/>
      <c r="S345" s="690"/>
      <c r="T345" s="690"/>
      <c r="U345" s="690"/>
      <c r="V345" s="690"/>
      <c r="W345" s="690"/>
      <c r="X345" s="690"/>
      <c r="Y345" s="690"/>
      <c r="Z345" s="690"/>
      <c r="AA345" s="690"/>
      <c r="AB345" s="690"/>
      <c r="AC345" s="690"/>
      <c r="AD345" s="690"/>
      <c r="AE345" s="690"/>
    </row>
    <row r="346" spans="1:31" ht="15.75" customHeight="1">
      <c r="A346" s="690"/>
      <c r="B346" s="690"/>
      <c r="C346" s="690"/>
      <c r="D346" s="690"/>
      <c r="E346" s="690"/>
      <c r="F346" s="690"/>
      <c r="G346" s="690"/>
      <c r="H346" s="690"/>
      <c r="I346" s="690"/>
      <c r="J346" s="690"/>
      <c r="K346" s="690"/>
      <c r="L346" s="690"/>
      <c r="M346" s="690"/>
      <c r="N346" s="690"/>
      <c r="O346" s="690"/>
      <c r="P346" s="690"/>
      <c r="Q346" s="690"/>
      <c r="R346" s="690"/>
      <c r="S346" s="690"/>
      <c r="T346" s="690"/>
      <c r="U346" s="690"/>
      <c r="V346" s="690"/>
      <c r="W346" s="690"/>
      <c r="X346" s="690"/>
      <c r="Y346" s="690"/>
      <c r="Z346" s="690"/>
      <c r="AA346" s="690"/>
      <c r="AB346" s="690"/>
      <c r="AC346" s="690"/>
      <c r="AD346" s="690"/>
      <c r="AE346" s="690"/>
    </row>
    <row r="347" spans="1:31" ht="15.75" customHeight="1">
      <c r="A347" s="690"/>
      <c r="B347" s="690"/>
      <c r="C347" s="690"/>
      <c r="D347" s="690"/>
      <c r="E347" s="690"/>
      <c r="F347" s="690"/>
      <c r="G347" s="690"/>
      <c r="H347" s="690"/>
      <c r="I347" s="690"/>
      <c r="J347" s="690"/>
      <c r="K347" s="690"/>
      <c r="L347" s="690"/>
      <c r="M347" s="690"/>
      <c r="N347" s="690"/>
      <c r="O347" s="690"/>
      <c r="P347" s="690"/>
      <c r="Q347" s="690"/>
      <c r="R347" s="690"/>
      <c r="S347" s="690"/>
      <c r="T347" s="690"/>
      <c r="U347" s="690"/>
      <c r="V347" s="690"/>
      <c r="W347" s="690"/>
      <c r="X347" s="690"/>
      <c r="Y347" s="690"/>
      <c r="Z347" s="690"/>
      <c r="AA347" s="690"/>
      <c r="AB347" s="690"/>
      <c r="AC347" s="690"/>
      <c r="AD347" s="690"/>
      <c r="AE347" s="690"/>
    </row>
    <row r="348" spans="1:31" ht="15.75" customHeight="1">
      <c r="A348" s="690"/>
      <c r="B348" s="690"/>
      <c r="C348" s="690"/>
      <c r="D348" s="690"/>
      <c r="E348" s="690"/>
      <c r="F348" s="690"/>
      <c r="G348" s="690"/>
      <c r="H348" s="690"/>
      <c r="I348" s="690"/>
      <c r="J348" s="690"/>
      <c r="K348" s="690"/>
      <c r="L348" s="690"/>
      <c r="M348" s="690"/>
      <c r="N348" s="690"/>
      <c r="O348" s="690"/>
      <c r="P348" s="690"/>
      <c r="Q348" s="690"/>
      <c r="R348" s="690"/>
      <c r="S348" s="690"/>
      <c r="T348" s="690"/>
      <c r="U348" s="690"/>
      <c r="V348" s="690"/>
      <c r="W348" s="690"/>
      <c r="X348" s="690"/>
      <c r="Y348" s="690"/>
      <c r="Z348" s="690"/>
      <c r="AA348" s="690"/>
      <c r="AB348" s="690"/>
      <c r="AC348" s="690"/>
      <c r="AD348" s="690"/>
      <c r="AE348" s="690"/>
    </row>
    <row r="349" spans="1:31" ht="15.75" customHeight="1">
      <c r="A349" s="690"/>
      <c r="B349" s="690"/>
      <c r="C349" s="690"/>
      <c r="D349" s="690"/>
      <c r="E349" s="690"/>
      <c r="F349" s="690"/>
      <c r="G349" s="690"/>
      <c r="H349" s="690"/>
      <c r="I349" s="690"/>
      <c r="J349" s="690"/>
      <c r="K349" s="690"/>
      <c r="L349" s="690"/>
      <c r="M349" s="690"/>
      <c r="N349" s="690"/>
      <c r="O349" s="690"/>
      <c r="P349" s="690"/>
      <c r="Q349" s="690"/>
      <c r="R349" s="690"/>
      <c r="S349" s="690"/>
      <c r="T349" s="690"/>
      <c r="U349" s="690"/>
      <c r="V349" s="690"/>
      <c r="W349" s="690"/>
      <c r="X349" s="690"/>
      <c r="Y349" s="690"/>
      <c r="Z349" s="690"/>
      <c r="AA349" s="690"/>
      <c r="AB349" s="690"/>
      <c r="AC349" s="690"/>
      <c r="AD349" s="690"/>
      <c r="AE349" s="690"/>
    </row>
    <row r="350" spans="1:31" ht="15.75" customHeight="1">
      <c r="A350" s="690"/>
      <c r="B350" s="690"/>
      <c r="C350" s="690"/>
      <c r="D350" s="690"/>
      <c r="E350" s="690"/>
      <c r="F350" s="690"/>
      <c r="G350" s="690"/>
      <c r="H350" s="690"/>
      <c r="I350" s="690"/>
      <c r="J350" s="690"/>
      <c r="K350" s="690"/>
      <c r="L350" s="690"/>
      <c r="M350" s="690"/>
      <c r="N350" s="690"/>
      <c r="O350" s="690"/>
      <c r="P350" s="690"/>
      <c r="Q350" s="690"/>
      <c r="R350" s="690"/>
      <c r="S350" s="690"/>
      <c r="T350" s="690"/>
      <c r="U350" s="690"/>
      <c r="V350" s="690"/>
      <c r="W350" s="690"/>
      <c r="X350" s="690"/>
      <c r="Y350" s="690"/>
      <c r="Z350" s="690"/>
      <c r="AA350" s="690"/>
      <c r="AB350" s="690"/>
      <c r="AC350" s="690"/>
      <c r="AD350" s="690"/>
      <c r="AE350" s="690"/>
    </row>
    <row r="351" spans="1:31" ht="15.75" customHeight="1">
      <c r="A351" s="690"/>
      <c r="B351" s="690"/>
      <c r="C351" s="690"/>
      <c r="D351" s="690"/>
      <c r="E351" s="690"/>
      <c r="F351" s="690"/>
      <c r="G351" s="690"/>
      <c r="H351" s="690"/>
      <c r="I351" s="690"/>
      <c r="J351" s="690"/>
      <c r="K351" s="690"/>
      <c r="L351" s="690"/>
      <c r="M351" s="690"/>
      <c r="N351" s="690"/>
      <c r="O351" s="690"/>
      <c r="P351" s="690"/>
      <c r="Q351" s="690"/>
      <c r="R351" s="690"/>
      <c r="S351" s="690"/>
      <c r="T351" s="690"/>
      <c r="U351" s="690"/>
      <c r="V351" s="690"/>
      <c r="W351" s="690"/>
      <c r="X351" s="690"/>
      <c r="Y351" s="690"/>
      <c r="Z351" s="690"/>
      <c r="AA351" s="690"/>
      <c r="AB351" s="690"/>
      <c r="AC351" s="690"/>
      <c r="AD351" s="690"/>
      <c r="AE351" s="690"/>
    </row>
    <row r="352" spans="1:31" ht="15.75" customHeight="1">
      <c r="A352" s="690"/>
      <c r="B352" s="690"/>
      <c r="C352" s="690"/>
      <c r="D352" s="690"/>
      <c r="E352" s="690"/>
      <c r="F352" s="690"/>
      <c r="G352" s="690"/>
      <c r="H352" s="690"/>
      <c r="I352" s="690"/>
      <c r="J352" s="690"/>
      <c r="K352" s="690"/>
      <c r="L352" s="690"/>
      <c r="M352" s="690"/>
      <c r="N352" s="690"/>
      <c r="O352" s="690"/>
      <c r="P352" s="690"/>
      <c r="Q352" s="690"/>
      <c r="R352" s="690"/>
      <c r="S352" s="690"/>
      <c r="T352" s="690"/>
      <c r="U352" s="690"/>
      <c r="V352" s="690"/>
      <c r="W352" s="690"/>
      <c r="X352" s="690"/>
      <c r="Y352" s="690"/>
      <c r="Z352" s="690"/>
      <c r="AA352" s="690"/>
      <c r="AB352" s="690"/>
      <c r="AC352" s="690"/>
      <c r="AD352" s="690"/>
      <c r="AE352" s="690"/>
    </row>
    <row r="353" spans="1:31" ht="15.75" customHeight="1">
      <c r="A353" s="690"/>
      <c r="B353" s="690"/>
      <c r="C353" s="690"/>
      <c r="D353" s="690"/>
      <c r="E353" s="690"/>
      <c r="F353" s="690"/>
      <c r="G353" s="690"/>
      <c r="H353" s="690"/>
      <c r="I353" s="690"/>
      <c r="J353" s="690"/>
      <c r="K353" s="690"/>
      <c r="L353" s="690"/>
      <c r="M353" s="690"/>
      <c r="N353" s="690"/>
      <c r="O353" s="690"/>
      <c r="P353" s="690"/>
      <c r="Q353" s="690"/>
      <c r="R353" s="690"/>
      <c r="S353" s="690"/>
      <c r="T353" s="690"/>
      <c r="U353" s="690"/>
      <c r="V353" s="690"/>
      <c r="W353" s="690"/>
      <c r="X353" s="690"/>
      <c r="Y353" s="690"/>
      <c r="Z353" s="690"/>
      <c r="AA353" s="690"/>
      <c r="AB353" s="690"/>
      <c r="AC353" s="690"/>
      <c r="AD353" s="690"/>
      <c r="AE353" s="690"/>
    </row>
    <row r="354" spans="1:31" ht="15.75" customHeight="1">
      <c r="A354" s="690"/>
      <c r="B354" s="690"/>
      <c r="C354" s="690"/>
      <c r="D354" s="690"/>
      <c r="E354" s="690"/>
      <c r="F354" s="690"/>
      <c r="G354" s="690"/>
      <c r="H354" s="690"/>
      <c r="I354" s="690"/>
      <c r="J354" s="690"/>
      <c r="K354" s="690"/>
      <c r="L354" s="690"/>
      <c r="M354" s="690"/>
      <c r="N354" s="690"/>
      <c r="O354" s="690"/>
      <c r="P354" s="690"/>
      <c r="Q354" s="690"/>
      <c r="R354" s="690"/>
      <c r="S354" s="690"/>
      <c r="T354" s="690"/>
      <c r="U354" s="690"/>
      <c r="V354" s="690"/>
      <c r="W354" s="690"/>
      <c r="X354" s="690"/>
      <c r="Y354" s="690"/>
      <c r="Z354" s="690"/>
      <c r="AA354" s="690"/>
      <c r="AB354" s="690"/>
      <c r="AC354" s="690"/>
      <c r="AD354" s="690"/>
      <c r="AE354" s="690"/>
    </row>
    <row r="355" spans="1:31" ht="15.75" customHeight="1">
      <c r="A355" s="690"/>
      <c r="B355" s="690"/>
      <c r="C355" s="690"/>
      <c r="D355" s="690"/>
      <c r="E355" s="690"/>
      <c r="F355" s="690"/>
      <c r="G355" s="690"/>
      <c r="H355" s="690"/>
      <c r="I355" s="690"/>
      <c r="J355" s="690"/>
      <c r="K355" s="690"/>
      <c r="L355" s="690"/>
      <c r="M355" s="690"/>
      <c r="N355" s="690"/>
      <c r="O355" s="690"/>
      <c r="P355" s="690"/>
      <c r="Q355" s="690"/>
      <c r="R355" s="690"/>
      <c r="S355" s="690"/>
      <c r="T355" s="690"/>
      <c r="U355" s="690"/>
      <c r="V355" s="690"/>
      <c r="W355" s="690"/>
      <c r="X355" s="690"/>
      <c r="Y355" s="690"/>
      <c r="Z355" s="690"/>
      <c r="AA355" s="690"/>
      <c r="AB355" s="690"/>
      <c r="AC355" s="690"/>
      <c r="AD355" s="690"/>
      <c r="AE355" s="690"/>
    </row>
    <row r="356" spans="1:31" ht="15.75" customHeight="1">
      <c r="A356" s="690"/>
      <c r="B356" s="690"/>
      <c r="C356" s="690"/>
      <c r="D356" s="690"/>
      <c r="E356" s="690"/>
      <c r="F356" s="690"/>
      <c r="G356" s="690"/>
      <c r="H356" s="690"/>
      <c r="I356" s="690"/>
      <c r="J356" s="690"/>
      <c r="K356" s="690"/>
      <c r="L356" s="690"/>
      <c r="M356" s="690"/>
      <c r="N356" s="690"/>
      <c r="O356" s="690"/>
      <c r="P356" s="690"/>
      <c r="Q356" s="690"/>
      <c r="R356" s="690"/>
      <c r="S356" s="690"/>
      <c r="T356" s="690"/>
      <c r="U356" s="690"/>
      <c r="V356" s="690"/>
      <c r="W356" s="690"/>
      <c r="X356" s="690"/>
      <c r="Y356" s="690"/>
      <c r="Z356" s="690"/>
      <c r="AA356" s="690"/>
      <c r="AB356" s="690"/>
      <c r="AC356" s="690"/>
      <c r="AD356" s="690"/>
      <c r="AE356" s="690"/>
    </row>
    <row r="357" spans="1:31" ht="15.75" customHeight="1">
      <c r="A357" s="690"/>
      <c r="B357" s="690"/>
      <c r="C357" s="690"/>
      <c r="D357" s="690"/>
      <c r="E357" s="690"/>
      <c r="F357" s="690"/>
      <c r="G357" s="690"/>
      <c r="H357" s="690"/>
      <c r="I357" s="690"/>
      <c r="J357" s="690"/>
      <c r="K357" s="690"/>
      <c r="L357" s="690"/>
      <c r="M357" s="690"/>
      <c r="N357" s="690"/>
      <c r="O357" s="690"/>
      <c r="P357" s="690"/>
      <c r="Q357" s="690"/>
      <c r="R357" s="690"/>
      <c r="S357" s="690"/>
      <c r="T357" s="690"/>
      <c r="U357" s="690"/>
      <c r="V357" s="690"/>
      <c r="W357" s="690"/>
      <c r="X357" s="690"/>
      <c r="Y357" s="690"/>
      <c r="Z357" s="690"/>
      <c r="AA357" s="690"/>
      <c r="AB357" s="690"/>
      <c r="AC357" s="690"/>
      <c r="AD357" s="690"/>
      <c r="AE357" s="690"/>
    </row>
    <row r="358" spans="1:31" ht="15.75" customHeight="1">
      <c r="A358" s="690"/>
      <c r="B358" s="690"/>
      <c r="C358" s="690"/>
      <c r="D358" s="690"/>
      <c r="E358" s="690"/>
      <c r="F358" s="690"/>
      <c r="G358" s="690"/>
      <c r="H358" s="690"/>
      <c r="I358" s="690"/>
      <c r="J358" s="690"/>
      <c r="K358" s="690"/>
      <c r="L358" s="690"/>
      <c r="M358" s="690"/>
      <c r="N358" s="690"/>
      <c r="O358" s="690"/>
      <c r="P358" s="690"/>
      <c r="Q358" s="690"/>
      <c r="R358" s="690"/>
      <c r="S358" s="690"/>
      <c r="T358" s="690"/>
      <c r="U358" s="690"/>
      <c r="V358" s="690"/>
      <c r="W358" s="690"/>
      <c r="X358" s="690"/>
      <c r="Y358" s="690"/>
      <c r="Z358" s="690"/>
      <c r="AA358" s="690"/>
      <c r="AB358" s="690"/>
      <c r="AC358" s="690"/>
      <c r="AD358" s="690"/>
      <c r="AE358" s="690"/>
    </row>
    <row r="359" spans="1:31" ht="15.75" customHeight="1">
      <c r="A359" s="690"/>
      <c r="B359" s="690"/>
      <c r="C359" s="690"/>
      <c r="D359" s="690"/>
      <c r="E359" s="690"/>
      <c r="F359" s="690"/>
      <c r="G359" s="690"/>
      <c r="H359" s="690"/>
      <c r="I359" s="690"/>
      <c r="J359" s="690"/>
      <c r="K359" s="690"/>
      <c r="L359" s="690"/>
      <c r="M359" s="690"/>
      <c r="N359" s="690"/>
      <c r="O359" s="690"/>
      <c r="P359" s="690"/>
      <c r="Q359" s="690"/>
      <c r="R359" s="690"/>
      <c r="S359" s="690"/>
      <c r="T359" s="690"/>
      <c r="U359" s="690"/>
      <c r="V359" s="690"/>
      <c r="W359" s="690"/>
      <c r="X359" s="690"/>
      <c r="Y359" s="690"/>
      <c r="Z359" s="690"/>
      <c r="AA359" s="690"/>
      <c r="AB359" s="690"/>
      <c r="AC359" s="690"/>
      <c r="AD359" s="690"/>
      <c r="AE359" s="690"/>
    </row>
    <row r="360" spans="1:31" ht="15.75" customHeight="1">
      <c r="A360" s="690"/>
      <c r="B360" s="690"/>
      <c r="C360" s="690"/>
      <c r="D360" s="690"/>
      <c r="E360" s="690"/>
      <c r="F360" s="690"/>
      <c r="G360" s="690"/>
      <c r="H360" s="690"/>
      <c r="I360" s="690"/>
      <c r="J360" s="690"/>
      <c r="K360" s="690"/>
      <c r="L360" s="690"/>
      <c r="M360" s="690"/>
      <c r="N360" s="690"/>
      <c r="O360" s="690"/>
      <c r="P360" s="690"/>
      <c r="Q360" s="690"/>
      <c r="R360" s="690"/>
      <c r="S360" s="690"/>
      <c r="T360" s="690"/>
      <c r="U360" s="690"/>
      <c r="V360" s="690"/>
      <c r="W360" s="690"/>
      <c r="X360" s="690"/>
      <c r="Y360" s="690"/>
      <c r="Z360" s="690"/>
      <c r="AA360" s="690"/>
      <c r="AB360" s="690"/>
      <c r="AC360" s="690"/>
      <c r="AD360" s="690"/>
      <c r="AE360" s="690"/>
    </row>
    <row r="361" spans="1:31" ht="15.75" customHeight="1">
      <c r="A361" s="690"/>
      <c r="B361" s="690"/>
      <c r="C361" s="690"/>
      <c r="D361" s="690"/>
      <c r="E361" s="690"/>
      <c r="F361" s="690"/>
      <c r="G361" s="690"/>
      <c r="H361" s="690"/>
      <c r="I361" s="690"/>
      <c r="J361" s="690"/>
      <c r="K361" s="690"/>
      <c r="L361" s="690"/>
      <c r="M361" s="690"/>
      <c r="N361" s="690"/>
      <c r="O361" s="690"/>
      <c r="P361" s="690"/>
      <c r="Q361" s="690"/>
      <c r="R361" s="690"/>
      <c r="S361" s="690"/>
      <c r="T361" s="690"/>
      <c r="U361" s="690"/>
      <c r="V361" s="690"/>
      <c r="W361" s="690"/>
      <c r="X361" s="690"/>
      <c r="Y361" s="690"/>
      <c r="Z361" s="690"/>
      <c r="AA361" s="690"/>
      <c r="AB361" s="690"/>
      <c r="AC361" s="690"/>
      <c r="AD361" s="690"/>
      <c r="AE361" s="690"/>
    </row>
    <row r="362" spans="1:31" ht="15.75" customHeight="1">
      <c r="A362" s="690"/>
      <c r="B362" s="690"/>
      <c r="C362" s="690"/>
      <c r="D362" s="690"/>
      <c r="E362" s="690"/>
      <c r="F362" s="690"/>
      <c r="G362" s="690"/>
      <c r="H362" s="690"/>
      <c r="I362" s="690"/>
      <c r="J362" s="690"/>
      <c r="K362" s="690"/>
      <c r="L362" s="690"/>
      <c r="M362" s="690"/>
      <c r="N362" s="690"/>
      <c r="O362" s="690"/>
      <c r="P362" s="690"/>
      <c r="Q362" s="690"/>
      <c r="R362" s="690"/>
      <c r="S362" s="690"/>
      <c r="T362" s="690"/>
      <c r="U362" s="690"/>
      <c r="V362" s="690"/>
      <c r="W362" s="690"/>
      <c r="X362" s="690"/>
      <c r="Y362" s="690"/>
      <c r="Z362" s="690"/>
      <c r="AA362" s="690"/>
      <c r="AB362" s="690"/>
      <c r="AC362" s="690"/>
      <c r="AD362" s="690"/>
      <c r="AE362" s="690"/>
    </row>
    <row r="363" spans="1:31" ht="15.75" customHeight="1">
      <c r="A363" s="690"/>
      <c r="B363" s="690"/>
      <c r="C363" s="690"/>
      <c r="D363" s="690"/>
      <c r="E363" s="690"/>
      <c r="F363" s="690"/>
      <c r="G363" s="690"/>
      <c r="H363" s="690"/>
      <c r="I363" s="690"/>
      <c r="J363" s="690"/>
      <c r="K363" s="690"/>
      <c r="L363" s="690"/>
      <c r="M363" s="690"/>
      <c r="N363" s="690"/>
      <c r="O363" s="690"/>
      <c r="P363" s="690"/>
      <c r="Q363" s="690"/>
      <c r="R363" s="690"/>
      <c r="S363" s="690"/>
      <c r="T363" s="690"/>
      <c r="U363" s="690"/>
      <c r="V363" s="690"/>
      <c r="W363" s="690"/>
      <c r="X363" s="690"/>
      <c r="Y363" s="690"/>
      <c r="Z363" s="690"/>
      <c r="AA363" s="690"/>
      <c r="AB363" s="690"/>
      <c r="AC363" s="690"/>
      <c r="AD363" s="690"/>
      <c r="AE363" s="690"/>
    </row>
    <row r="364" spans="1:31" ht="15.75" customHeight="1">
      <c r="A364" s="690"/>
      <c r="B364" s="690"/>
      <c r="C364" s="690"/>
      <c r="D364" s="690"/>
      <c r="E364" s="690"/>
      <c r="F364" s="690"/>
      <c r="G364" s="690"/>
      <c r="H364" s="690"/>
      <c r="I364" s="690"/>
      <c r="J364" s="690"/>
      <c r="K364" s="690"/>
      <c r="L364" s="690"/>
      <c r="M364" s="690"/>
      <c r="N364" s="690"/>
      <c r="O364" s="690"/>
      <c r="P364" s="690"/>
      <c r="Q364" s="690"/>
      <c r="R364" s="690"/>
      <c r="S364" s="690"/>
      <c r="T364" s="690"/>
      <c r="U364" s="690"/>
      <c r="V364" s="690"/>
      <c r="W364" s="690"/>
      <c r="X364" s="690"/>
      <c r="Y364" s="690"/>
      <c r="Z364" s="690"/>
      <c r="AA364" s="690"/>
      <c r="AB364" s="690"/>
      <c r="AC364" s="690"/>
      <c r="AD364" s="690"/>
      <c r="AE364" s="690"/>
    </row>
    <row r="365" spans="1:31" ht="15.75" customHeight="1">
      <c r="A365" s="690"/>
      <c r="B365" s="690"/>
      <c r="C365" s="690"/>
      <c r="D365" s="690"/>
      <c r="E365" s="690"/>
      <c r="F365" s="690"/>
      <c r="G365" s="690"/>
      <c r="H365" s="690"/>
      <c r="I365" s="690"/>
      <c r="J365" s="690"/>
      <c r="K365" s="690"/>
      <c r="L365" s="690"/>
      <c r="M365" s="690"/>
      <c r="N365" s="690"/>
      <c r="O365" s="690"/>
      <c r="P365" s="690"/>
      <c r="Q365" s="690"/>
      <c r="R365" s="690"/>
      <c r="S365" s="690"/>
      <c r="T365" s="690"/>
      <c r="U365" s="690"/>
      <c r="V365" s="690"/>
      <c r="W365" s="690"/>
      <c r="X365" s="690"/>
      <c r="Y365" s="690"/>
      <c r="Z365" s="690"/>
      <c r="AA365" s="690"/>
      <c r="AB365" s="690"/>
      <c r="AC365" s="690"/>
      <c r="AD365" s="690"/>
      <c r="AE365" s="690"/>
    </row>
    <row r="366" spans="1:31" ht="15.75" customHeight="1">
      <c r="A366" s="690"/>
      <c r="B366" s="690"/>
      <c r="C366" s="690"/>
      <c r="D366" s="690"/>
      <c r="E366" s="690"/>
      <c r="F366" s="690"/>
      <c r="G366" s="690"/>
      <c r="H366" s="690"/>
      <c r="I366" s="690"/>
      <c r="J366" s="690"/>
      <c r="K366" s="690"/>
      <c r="L366" s="690"/>
      <c r="M366" s="690"/>
      <c r="N366" s="690"/>
      <c r="O366" s="690"/>
      <c r="P366" s="690"/>
      <c r="Q366" s="690"/>
      <c r="R366" s="690"/>
      <c r="S366" s="690"/>
      <c r="T366" s="690"/>
      <c r="U366" s="690"/>
      <c r="V366" s="690"/>
      <c r="W366" s="690"/>
      <c r="X366" s="690"/>
      <c r="Y366" s="690"/>
      <c r="Z366" s="690"/>
      <c r="AA366" s="690"/>
      <c r="AB366" s="690"/>
      <c r="AC366" s="690"/>
      <c r="AD366" s="690"/>
      <c r="AE366" s="690"/>
    </row>
    <row r="367" spans="1:31" ht="15.75" customHeight="1">
      <c r="A367" s="690"/>
      <c r="B367" s="690"/>
      <c r="C367" s="690"/>
      <c r="D367" s="690"/>
      <c r="E367" s="690"/>
      <c r="F367" s="690"/>
      <c r="G367" s="690"/>
      <c r="H367" s="690"/>
      <c r="I367" s="690"/>
      <c r="J367" s="690"/>
      <c r="K367" s="690"/>
      <c r="L367" s="690"/>
      <c r="M367" s="690"/>
      <c r="N367" s="690"/>
      <c r="O367" s="690"/>
      <c r="P367" s="690"/>
      <c r="Q367" s="690"/>
      <c r="R367" s="690"/>
      <c r="S367" s="690"/>
      <c r="T367" s="690"/>
      <c r="U367" s="690"/>
      <c r="V367" s="690"/>
      <c r="W367" s="690"/>
      <c r="X367" s="690"/>
      <c r="Y367" s="690"/>
      <c r="Z367" s="690"/>
      <c r="AA367" s="690"/>
      <c r="AB367" s="690"/>
      <c r="AC367" s="690"/>
      <c r="AD367" s="690"/>
      <c r="AE367" s="690"/>
    </row>
    <row r="368" spans="1:31" ht="15.75" customHeight="1">
      <c r="A368" s="690"/>
      <c r="B368" s="690"/>
      <c r="C368" s="690"/>
      <c r="D368" s="690"/>
      <c r="E368" s="690"/>
      <c r="F368" s="690"/>
      <c r="G368" s="690"/>
      <c r="H368" s="690"/>
      <c r="I368" s="690"/>
      <c r="J368" s="690"/>
      <c r="K368" s="690"/>
      <c r="L368" s="690"/>
      <c r="M368" s="690"/>
      <c r="N368" s="690"/>
      <c r="O368" s="690"/>
      <c r="P368" s="690"/>
      <c r="Q368" s="690"/>
      <c r="R368" s="690"/>
      <c r="S368" s="690"/>
      <c r="T368" s="690"/>
      <c r="U368" s="690"/>
      <c r="V368" s="690"/>
      <c r="W368" s="690"/>
      <c r="X368" s="690"/>
      <c r="Y368" s="690"/>
      <c r="Z368" s="690"/>
      <c r="AA368" s="690"/>
      <c r="AB368" s="690"/>
      <c r="AC368" s="690"/>
      <c r="AD368" s="690"/>
      <c r="AE368" s="690"/>
    </row>
    <row r="369" spans="1:31" ht="15.75" customHeight="1">
      <c r="A369" s="690"/>
      <c r="B369" s="690"/>
      <c r="C369" s="690"/>
      <c r="D369" s="690"/>
      <c r="E369" s="690"/>
      <c r="F369" s="690"/>
      <c r="G369" s="690"/>
      <c r="H369" s="690"/>
      <c r="I369" s="690"/>
      <c r="J369" s="690"/>
      <c r="K369" s="690"/>
      <c r="L369" s="690"/>
      <c r="M369" s="690"/>
      <c r="N369" s="690"/>
      <c r="O369" s="690"/>
      <c r="P369" s="690"/>
      <c r="Q369" s="690"/>
      <c r="R369" s="690"/>
      <c r="S369" s="690"/>
      <c r="T369" s="690"/>
      <c r="U369" s="690"/>
      <c r="V369" s="690"/>
      <c r="W369" s="690"/>
      <c r="X369" s="690"/>
      <c r="Y369" s="690"/>
      <c r="Z369" s="690"/>
      <c r="AA369" s="690"/>
      <c r="AB369" s="690"/>
      <c r="AC369" s="690"/>
      <c r="AD369" s="690"/>
      <c r="AE369" s="690"/>
    </row>
    <row r="370" spans="1:31" ht="15.75" customHeight="1">
      <c r="A370" s="690"/>
      <c r="B370" s="690"/>
      <c r="C370" s="690"/>
      <c r="D370" s="690"/>
      <c r="E370" s="690"/>
      <c r="F370" s="690"/>
      <c r="G370" s="690"/>
      <c r="H370" s="690"/>
      <c r="I370" s="690"/>
      <c r="J370" s="690"/>
      <c r="K370" s="690"/>
      <c r="L370" s="690"/>
      <c r="M370" s="690"/>
      <c r="N370" s="690"/>
      <c r="O370" s="690"/>
      <c r="P370" s="690"/>
      <c r="Q370" s="690"/>
      <c r="R370" s="690"/>
      <c r="S370" s="690"/>
      <c r="T370" s="690"/>
      <c r="U370" s="690"/>
      <c r="V370" s="690"/>
      <c r="W370" s="690"/>
      <c r="X370" s="690"/>
      <c r="Y370" s="690"/>
      <c r="Z370" s="690"/>
      <c r="AA370" s="690"/>
      <c r="AB370" s="690"/>
      <c r="AC370" s="690"/>
      <c r="AD370" s="690"/>
      <c r="AE370" s="690"/>
    </row>
    <row r="371" spans="1:31" ht="15.75" customHeight="1">
      <c r="A371" s="690"/>
      <c r="B371" s="690"/>
      <c r="C371" s="690"/>
      <c r="D371" s="690"/>
      <c r="E371" s="690"/>
      <c r="F371" s="690"/>
      <c r="G371" s="690"/>
      <c r="H371" s="690"/>
      <c r="I371" s="690"/>
      <c r="J371" s="690"/>
      <c r="K371" s="690"/>
      <c r="L371" s="690"/>
      <c r="M371" s="690"/>
      <c r="N371" s="690"/>
      <c r="O371" s="690"/>
      <c r="P371" s="690"/>
      <c r="Q371" s="690"/>
      <c r="R371" s="690"/>
      <c r="S371" s="690"/>
      <c r="T371" s="690"/>
      <c r="U371" s="690"/>
      <c r="V371" s="690"/>
      <c r="W371" s="690"/>
      <c r="X371" s="690"/>
      <c r="Y371" s="690"/>
      <c r="Z371" s="690"/>
      <c r="AA371" s="690"/>
      <c r="AB371" s="690"/>
      <c r="AC371" s="690"/>
      <c r="AD371" s="690"/>
      <c r="AE371" s="690"/>
    </row>
    <row r="372" spans="1:31" ht="15.75" customHeight="1">
      <c r="A372" s="690"/>
      <c r="B372" s="690"/>
      <c r="C372" s="690"/>
      <c r="D372" s="690"/>
      <c r="E372" s="690"/>
      <c r="F372" s="690"/>
      <c r="G372" s="690"/>
      <c r="H372" s="690"/>
      <c r="I372" s="690"/>
      <c r="J372" s="690"/>
      <c r="K372" s="690"/>
      <c r="L372" s="690"/>
      <c r="M372" s="690"/>
      <c r="N372" s="690"/>
      <c r="O372" s="690"/>
      <c r="P372" s="690"/>
      <c r="Q372" s="690"/>
      <c r="R372" s="690"/>
      <c r="S372" s="690"/>
      <c r="T372" s="690"/>
      <c r="U372" s="690"/>
      <c r="V372" s="690"/>
      <c r="W372" s="690"/>
      <c r="X372" s="690"/>
      <c r="Y372" s="690"/>
      <c r="Z372" s="690"/>
      <c r="AA372" s="690"/>
      <c r="AB372" s="690"/>
      <c r="AC372" s="690"/>
      <c r="AD372" s="690"/>
      <c r="AE372" s="690"/>
    </row>
    <row r="373" spans="1:31" ht="15.75" customHeight="1">
      <c r="A373" s="690"/>
      <c r="B373" s="690"/>
      <c r="C373" s="690"/>
      <c r="D373" s="690"/>
      <c r="E373" s="690"/>
      <c r="F373" s="690"/>
      <c r="G373" s="690"/>
      <c r="H373" s="690"/>
      <c r="I373" s="690"/>
      <c r="J373" s="690"/>
      <c r="K373" s="690"/>
      <c r="L373" s="690"/>
      <c r="M373" s="690"/>
      <c r="N373" s="690"/>
      <c r="O373" s="690"/>
      <c r="P373" s="690"/>
      <c r="Q373" s="690"/>
      <c r="R373" s="690"/>
      <c r="S373" s="690"/>
      <c r="T373" s="690"/>
      <c r="U373" s="690"/>
      <c r="V373" s="690"/>
      <c r="W373" s="690"/>
      <c r="X373" s="690"/>
      <c r="Y373" s="690"/>
      <c r="Z373" s="690"/>
      <c r="AA373" s="690"/>
      <c r="AB373" s="690"/>
      <c r="AC373" s="690"/>
      <c r="AD373" s="690"/>
      <c r="AE373" s="690"/>
    </row>
    <row r="374" spans="1:31" ht="15.75" customHeight="1">
      <c r="A374" s="690"/>
      <c r="B374" s="690"/>
      <c r="C374" s="690"/>
      <c r="D374" s="690"/>
      <c r="E374" s="690"/>
      <c r="F374" s="690"/>
      <c r="G374" s="690"/>
      <c r="H374" s="690"/>
      <c r="I374" s="690"/>
      <c r="J374" s="690"/>
      <c r="K374" s="690"/>
      <c r="L374" s="690"/>
      <c r="M374" s="690"/>
      <c r="N374" s="690"/>
      <c r="O374" s="690"/>
      <c r="P374" s="690"/>
      <c r="Q374" s="690"/>
      <c r="R374" s="690"/>
      <c r="S374" s="690"/>
      <c r="T374" s="690"/>
      <c r="U374" s="690"/>
      <c r="V374" s="690"/>
      <c r="W374" s="690"/>
      <c r="X374" s="690"/>
      <c r="Y374" s="690"/>
      <c r="Z374" s="690"/>
      <c r="AA374" s="690"/>
      <c r="AB374" s="690"/>
      <c r="AC374" s="690"/>
      <c r="AD374" s="690"/>
      <c r="AE374" s="690"/>
    </row>
    <row r="375" spans="1:31" ht="15.75" customHeight="1">
      <c r="A375" s="690"/>
      <c r="B375" s="690"/>
      <c r="C375" s="690"/>
      <c r="D375" s="690"/>
      <c r="E375" s="690"/>
      <c r="F375" s="690"/>
      <c r="G375" s="690"/>
      <c r="H375" s="690"/>
      <c r="I375" s="690"/>
      <c r="J375" s="690"/>
      <c r="K375" s="690"/>
      <c r="L375" s="690"/>
      <c r="M375" s="690"/>
      <c r="N375" s="690"/>
      <c r="O375" s="690"/>
      <c r="P375" s="690"/>
      <c r="Q375" s="690"/>
      <c r="R375" s="690"/>
      <c r="S375" s="690"/>
      <c r="T375" s="690"/>
      <c r="U375" s="690"/>
      <c r="V375" s="690"/>
      <c r="W375" s="690"/>
      <c r="X375" s="690"/>
      <c r="Y375" s="690"/>
      <c r="Z375" s="690"/>
      <c r="AA375" s="690"/>
      <c r="AB375" s="690"/>
      <c r="AC375" s="690"/>
      <c r="AD375" s="690"/>
      <c r="AE375" s="690"/>
    </row>
    <row r="376" spans="1:31" ht="15.75" customHeight="1">
      <c r="A376" s="690"/>
      <c r="B376" s="690"/>
      <c r="C376" s="690"/>
      <c r="D376" s="690"/>
      <c r="E376" s="690"/>
      <c r="F376" s="690"/>
      <c r="G376" s="690"/>
      <c r="H376" s="690"/>
      <c r="I376" s="690"/>
      <c r="J376" s="690"/>
      <c r="K376" s="690"/>
      <c r="L376" s="690"/>
      <c r="M376" s="690"/>
      <c r="N376" s="690"/>
      <c r="O376" s="690"/>
      <c r="P376" s="690"/>
      <c r="Q376" s="690"/>
      <c r="R376" s="690"/>
      <c r="S376" s="690"/>
      <c r="T376" s="690"/>
      <c r="U376" s="690"/>
      <c r="V376" s="690"/>
      <c r="W376" s="690"/>
      <c r="X376" s="690"/>
      <c r="Y376" s="690"/>
      <c r="Z376" s="690"/>
      <c r="AA376" s="690"/>
      <c r="AB376" s="690"/>
      <c r="AC376" s="690"/>
      <c r="AD376" s="690"/>
      <c r="AE376" s="690"/>
    </row>
    <row r="377" spans="1:31" ht="15.75" customHeight="1">
      <c r="A377" s="690"/>
      <c r="B377" s="690"/>
      <c r="C377" s="690"/>
      <c r="D377" s="690"/>
      <c r="E377" s="690"/>
      <c r="F377" s="690"/>
      <c r="G377" s="690"/>
      <c r="H377" s="690"/>
      <c r="I377" s="690"/>
      <c r="J377" s="690"/>
      <c r="K377" s="690"/>
      <c r="L377" s="690"/>
      <c r="M377" s="690"/>
      <c r="N377" s="690"/>
      <c r="O377" s="690"/>
      <c r="P377" s="690"/>
      <c r="Q377" s="690"/>
      <c r="R377" s="690"/>
      <c r="S377" s="690"/>
      <c r="T377" s="690"/>
      <c r="U377" s="690"/>
      <c r="V377" s="690"/>
      <c r="W377" s="690"/>
      <c r="X377" s="690"/>
      <c r="Y377" s="690"/>
      <c r="Z377" s="690"/>
      <c r="AA377" s="690"/>
      <c r="AB377" s="690"/>
      <c r="AC377" s="690"/>
      <c r="AD377" s="690"/>
      <c r="AE377" s="690"/>
    </row>
    <row r="378" spans="1:31" ht="15.75" customHeight="1">
      <c r="A378" s="690"/>
      <c r="B378" s="690"/>
      <c r="C378" s="690"/>
      <c r="D378" s="690"/>
      <c r="E378" s="690"/>
      <c r="F378" s="690"/>
      <c r="G378" s="690"/>
      <c r="H378" s="690"/>
      <c r="I378" s="690"/>
      <c r="J378" s="690"/>
      <c r="K378" s="690"/>
      <c r="L378" s="690"/>
      <c r="M378" s="690"/>
      <c r="N378" s="690"/>
      <c r="O378" s="690"/>
      <c r="P378" s="690"/>
      <c r="Q378" s="690"/>
      <c r="R378" s="690"/>
      <c r="S378" s="690"/>
      <c r="T378" s="690"/>
      <c r="U378" s="690"/>
      <c r="V378" s="690"/>
      <c r="W378" s="690"/>
      <c r="X378" s="690"/>
      <c r="Y378" s="690"/>
      <c r="Z378" s="690"/>
      <c r="AA378" s="690"/>
      <c r="AB378" s="690"/>
      <c r="AC378" s="690"/>
      <c r="AD378" s="690"/>
      <c r="AE378" s="690"/>
    </row>
    <row r="379" spans="1:31" ht="15.75" customHeight="1">
      <c r="A379" s="690"/>
      <c r="B379" s="690"/>
      <c r="C379" s="690"/>
      <c r="D379" s="690"/>
      <c r="E379" s="690"/>
      <c r="F379" s="690"/>
      <c r="G379" s="690"/>
      <c r="H379" s="690"/>
      <c r="I379" s="690"/>
      <c r="J379" s="690"/>
      <c r="K379" s="690"/>
      <c r="L379" s="690"/>
      <c r="M379" s="690"/>
      <c r="N379" s="690"/>
      <c r="O379" s="690"/>
      <c r="P379" s="690"/>
      <c r="Q379" s="690"/>
      <c r="R379" s="690"/>
      <c r="S379" s="690"/>
      <c r="T379" s="690"/>
      <c r="U379" s="690"/>
      <c r="V379" s="690"/>
      <c r="W379" s="690"/>
      <c r="X379" s="690"/>
      <c r="Y379" s="690"/>
      <c r="Z379" s="690"/>
      <c r="AA379" s="690"/>
      <c r="AB379" s="690"/>
      <c r="AC379" s="690"/>
      <c r="AD379" s="690"/>
      <c r="AE379" s="690"/>
    </row>
    <row r="380" spans="1:31" ht="15.75" customHeight="1">
      <c r="A380" s="690"/>
      <c r="B380" s="690"/>
      <c r="C380" s="690"/>
      <c r="D380" s="690"/>
      <c r="E380" s="690"/>
      <c r="F380" s="690"/>
      <c r="G380" s="690"/>
      <c r="H380" s="690"/>
      <c r="I380" s="690"/>
      <c r="J380" s="690"/>
      <c r="K380" s="690"/>
      <c r="L380" s="690"/>
      <c r="M380" s="690"/>
      <c r="N380" s="690"/>
      <c r="O380" s="690"/>
      <c r="P380" s="690"/>
      <c r="Q380" s="690"/>
      <c r="R380" s="690"/>
      <c r="S380" s="690"/>
      <c r="T380" s="690"/>
      <c r="U380" s="690"/>
      <c r="V380" s="690"/>
      <c r="W380" s="690"/>
      <c r="X380" s="690"/>
      <c r="Y380" s="690"/>
      <c r="Z380" s="690"/>
      <c r="AA380" s="690"/>
      <c r="AB380" s="690"/>
      <c r="AC380" s="690"/>
      <c r="AD380" s="690"/>
      <c r="AE380" s="690"/>
    </row>
    <row r="381" spans="1:31" ht="15.75" customHeight="1">
      <c r="A381" s="690"/>
      <c r="B381" s="690"/>
      <c r="C381" s="690"/>
      <c r="D381" s="690"/>
      <c r="E381" s="690"/>
      <c r="F381" s="690"/>
      <c r="G381" s="690"/>
      <c r="H381" s="690"/>
      <c r="I381" s="690"/>
      <c r="J381" s="690"/>
      <c r="K381" s="690"/>
      <c r="L381" s="690"/>
      <c r="M381" s="690"/>
      <c r="N381" s="690"/>
      <c r="O381" s="690"/>
      <c r="P381" s="690"/>
      <c r="Q381" s="690"/>
      <c r="R381" s="690"/>
      <c r="S381" s="690"/>
      <c r="T381" s="690"/>
      <c r="U381" s="690"/>
      <c r="V381" s="690"/>
      <c r="W381" s="690"/>
      <c r="X381" s="690"/>
      <c r="Y381" s="690"/>
      <c r="Z381" s="690"/>
      <c r="AA381" s="690"/>
      <c r="AB381" s="690"/>
      <c r="AC381" s="690"/>
      <c r="AD381" s="690"/>
      <c r="AE381" s="690"/>
    </row>
    <row r="382" spans="1:31" ht="15.75" customHeight="1">
      <c r="A382" s="690"/>
      <c r="B382" s="690"/>
      <c r="C382" s="690"/>
      <c r="D382" s="690"/>
      <c r="E382" s="690"/>
      <c r="F382" s="690"/>
      <c r="G382" s="690"/>
      <c r="H382" s="690"/>
      <c r="I382" s="690"/>
      <c r="J382" s="690"/>
      <c r="K382" s="690"/>
      <c r="L382" s="690"/>
      <c r="M382" s="690"/>
      <c r="N382" s="690"/>
      <c r="O382" s="690"/>
      <c r="P382" s="690"/>
      <c r="Q382" s="690"/>
      <c r="R382" s="690"/>
      <c r="S382" s="690"/>
      <c r="T382" s="690"/>
      <c r="U382" s="690"/>
      <c r="V382" s="690"/>
      <c r="W382" s="690"/>
      <c r="X382" s="690"/>
      <c r="Y382" s="690"/>
      <c r="Z382" s="690"/>
      <c r="AA382" s="690"/>
      <c r="AB382" s="690"/>
      <c r="AC382" s="690"/>
      <c r="AD382" s="690"/>
      <c r="AE382" s="690"/>
    </row>
    <row r="383" spans="1:31" ht="15.75" customHeight="1">
      <c r="A383" s="690"/>
      <c r="B383" s="690"/>
      <c r="C383" s="690"/>
      <c r="D383" s="690"/>
      <c r="E383" s="690"/>
      <c r="F383" s="690"/>
      <c r="G383" s="690"/>
      <c r="H383" s="690"/>
      <c r="I383" s="690"/>
      <c r="J383" s="690"/>
      <c r="K383" s="690"/>
      <c r="L383" s="690"/>
      <c r="M383" s="690"/>
      <c r="N383" s="690"/>
      <c r="O383" s="690"/>
      <c r="P383" s="690"/>
      <c r="Q383" s="690"/>
      <c r="R383" s="690"/>
      <c r="S383" s="690"/>
      <c r="T383" s="690"/>
      <c r="U383" s="690"/>
      <c r="V383" s="690"/>
      <c r="W383" s="690"/>
      <c r="X383" s="690"/>
      <c r="Y383" s="690"/>
      <c r="Z383" s="690"/>
      <c r="AA383" s="690"/>
      <c r="AB383" s="690"/>
      <c r="AC383" s="690"/>
      <c r="AD383" s="690"/>
      <c r="AE383" s="690"/>
    </row>
    <row r="384" spans="1:31" ht="15.75" customHeight="1">
      <c r="A384" s="690"/>
      <c r="B384" s="690"/>
      <c r="C384" s="690"/>
      <c r="D384" s="690"/>
      <c r="E384" s="690"/>
      <c r="F384" s="690"/>
      <c r="G384" s="690"/>
      <c r="H384" s="690"/>
      <c r="I384" s="690"/>
      <c r="J384" s="690"/>
      <c r="K384" s="690"/>
      <c r="L384" s="690"/>
      <c r="M384" s="690"/>
      <c r="N384" s="690"/>
      <c r="O384" s="690"/>
      <c r="P384" s="690"/>
      <c r="Q384" s="690"/>
      <c r="R384" s="690"/>
      <c r="S384" s="690"/>
      <c r="T384" s="690"/>
      <c r="U384" s="690"/>
      <c r="V384" s="690"/>
      <c r="W384" s="690"/>
      <c r="X384" s="690"/>
      <c r="Y384" s="690"/>
      <c r="Z384" s="690"/>
      <c r="AA384" s="690"/>
      <c r="AB384" s="690"/>
      <c r="AC384" s="690"/>
      <c r="AD384" s="690"/>
      <c r="AE384" s="690"/>
    </row>
    <row r="385" spans="1:31" ht="15.75" customHeight="1">
      <c r="A385" s="690"/>
      <c r="B385" s="690"/>
      <c r="C385" s="690"/>
      <c r="D385" s="690"/>
      <c r="E385" s="690"/>
      <c r="F385" s="690"/>
      <c r="G385" s="690"/>
      <c r="H385" s="690"/>
      <c r="I385" s="690"/>
      <c r="J385" s="690"/>
      <c r="K385" s="690"/>
      <c r="L385" s="690"/>
      <c r="M385" s="690"/>
      <c r="N385" s="690"/>
      <c r="O385" s="690"/>
      <c r="P385" s="690"/>
      <c r="Q385" s="690"/>
      <c r="R385" s="690"/>
      <c r="S385" s="690"/>
      <c r="T385" s="690"/>
      <c r="U385" s="690"/>
      <c r="V385" s="690"/>
      <c r="W385" s="690"/>
      <c r="X385" s="690"/>
      <c r="Y385" s="690"/>
      <c r="Z385" s="690"/>
      <c r="AA385" s="690"/>
      <c r="AB385" s="690"/>
      <c r="AC385" s="690"/>
      <c r="AD385" s="690"/>
      <c r="AE385" s="690"/>
    </row>
    <row r="386" spans="1:31" ht="15.75" customHeight="1">
      <c r="A386" s="690"/>
      <c r="B386" s="690"/>
      <c r="C386" s="690"/>
      <c r="D386" s="690"/>
      <c r="E386" s="690"/>
      <c r="F386" s="690"/>
      <c r="G386" s="690"/>
      <c r="H386" s="690"/>
      <c r="I386" s="690"/>
      <c r="J386" s="690"/>
      <c r="K386" s="690"/>
      <c r="L386" s="690"/>
      <c r="M386" s="690"/>
      <c r="N386" s="690"/>
      <c r="O386" s="690"/>
      <c r="P386" s="690"/>
      <c r="Q386" s="690"/>
      <c r="R386" s="690"/>
      <c r="S386" s="690"/>
      <c r="T386" s="690"/>
      <c r="U386" s="690"/>
      <c r="V386" s="690"/>
      <c r="W386" s="690"/>
      <c r="X386" s="690"/>
      <c r="Y386" s="690"/>
      <c r="Z386" s="690"/>
      <c r="AA386" s="690"/>
      <c r="AB386" s="690"/>
      <c r="AC386" s="690"/>
      <c r="AD386" s="690"/>
      <c r="AE386" s="690"/>
    </row>
    <row r="387" spans="1:31" ht="15.75" customHeight="1">
      <c r="A387" s="690"/>
      <c r="B387" s="690"/>
      <c r="C387" s="690"/>
      <c r="D387" s="690"/>
      <c r="E387" s="690"/>
      <c r="F387" s="690"/>
      <c r="G387" s="690"/>
      <c r="H387" s="690"/>
      <c r="I387" s="690"/>
      <c r="J387" s="690"/>
      <c r="K387" s="690"/>
      <c r="L387" s="690"/>
      <c r="M387" s="690"/>
      <c r="N387" s="690"/>
      <c r="O387" s="690"/>
      <c r="P387" s="690"/>
      <c r="Q387" s="690"/>
      <c r="R387" s="690"/>
      <c r="S387" s="690"/>
      <c r="T387" s="690"/>
      <c r="U387" s="690"/>
      <c r="V387" s="690"/>
      <c r="W387" s="690"/>
      <c r="X387" s="690"/>
      <c r="Y387" s="690"/>
      <c r="Z387" s="690"/>
      <c r="AA387" s="690"/>
      <c r="AB387" s="690"/>
      <c r="AC387" s="690"/>
      <c r="AD387" s="690"/>
      <c r="AE387" s="690"/>
    </row>
    <row r="388" spans="1:31" ht="15.75" customHeight="1">
      <c r="A388" s="690"/>
      <c r="B388" s="690"/>
      <c r="C388" s="690"/>
      <c r="D388" s="690"/>
      <c r="E388" s="690"/>
      <c r="F388" s="690"/>
      <c r="G388" s="690"/>
      <c r="H388" s="690"/>
      <c r="I388" s="690"/>
      <c r="J388" s="690"/>
      <c r="K388" s="690"/>
      <c r="L388" s="690"/>
      <c r="M388" s="690"/>
      <c r="N388" s="690"/>
      <c r="O388" s="690"/>
      <c r="P388" s="690"/>
      <c r="Q388" s="690"/>
      <c r="R388" s="690"/>
      <c r="S388" s="690"/>
      <c r="T388" s="690"/>
      <c r="U388" s="690"/>
      <c r="V388" s="690"/>
      <c r="W388" s="690"/>
      <c r="X388" s="690"/>
      <c r="Y388" s="690"/>
      <c r="Z388" s="690"/>
      <c r="AA388" s="690"/>
      <c r="AB388" s="690"/>
      <c r="AC388" s="690"/>
      <c r="AD388" s="690"/>
      <c r="AE388" s="690"/>
    </row>
    <row r="389" spans="1:31" ht="15.75" customHeight="1">
      <c r="A389" s="690"/>
      <c r="B389" s="690"/>
      <c r="C389" s="690"/>
      <c r="D389" s="690"/>
      <c r="E389" s="690"/>
      <c r="F389" s="690"/>
      <c r="G389" s="690"/>
      <c r="H389" s="690"/>
      <c r="I389" s="690"/>
      <c r="J389" s="690"/>
      <c r="K389" s="690"/>
      <c r="L389" s="690"/>
      <c r="M389" s="690"/>
      <c r="N389" s="690"/>
      <c r="O389" s="690"/>
      <c r="P389" s="690"/>
      <c r="Q389" s="690"/>
      <c r="R389" s="690"/>
      <c r="S389" s="690"/>
      <c r="T389" s="690"/>
      <c r="U389" s="690"/>
      <c r="V389" s="690"/>
      <c r="W389" s="690"/>
      <c r="X389" s="690"/>
      <c r="Y389" s="690"/>
      <c r="Z389" s="690"/>
      <c r="AA389" s="690"/>
      <c r="AB389" s="690"/>
      <c r="AC389" s="690"/>
      <c r="AD389" s="690"/>
      <c r="AE389" s="690"/>
    </row>
    <row r="390" spans="1:31" ht="15.75" customHeight="1">
      <c r="A390" s="690"/>
      <c r="B390" s="690"/>
      <c r="C390" s="690"/>
      <c r="D390" s="690"/>
      <c r="E390" s="690"/>
      <c r="F390" s="690"/>
      <c r="G390" s="690"/>
      <c r="H390" s="690"/>
      <c r="I390" s="690"/>
      <c r="J390" s="690"/>
      <c r="K390" s="690"/>
      <c r="L390" s="690"/>
      <c r="M390" s="690"/>
      <c r="N390" s="690"/>
      <c r="O390" s="690"/>
      <c r="P390" s="690"/>
      <c r="Q390" s="690"/>
      <c r="R390" s="690"/>
      <c r="S390" s="690"/>
      <c r="T390" s="690"/>
      <c r="U390" s="690"/>
      <c r="V390" s="690"/>
      <c r="W390" s="690"/>
      <c r="X390" s="690"/>
      <c r="Y390" s="690"/>
      <c r="Z390" s="690"/>
      <c r="AA390" s="690"/>
      <c r="AB390" s="690"/>
      <c r="AC390" s="690"/>
      <c r="AD390" s="690"/>
      <c r="AE390" s="690"/>
    </row>
    <row r="391" spans="1:31" ht="15.75" customHeight="1">
      <c r="A391" s="690"/>
      <c r="B391" s="690"/>
      <c r="C391" s="690"/>
      <c r="D391" s="690"/>
      <c r="E391" s="690"/>
      <c r="F391" s="690"/>
      <c r="G391" s="690"/>
      <c r="H391" s="690"/>
      <c r="I391" s="690"/>
      <c r="J391" s="690"/>
      <c r="K391" s="690"/>
      <c r="L391" s="690"/>
      <c r="M391" s="690"/>
      <c r="N391" s="690"/>
      <c r="O391" s="690"/>
      <c r="P391" s="690"/>
      <c r="Q391" s="690"/>
      <c r="R391" s="690"/>
      <c r="S391" s="690"/>
      <c r="T391" s="690"/>
      <c r="U391" s="690"/>
      <c r="V391" s="690"/>
      <c r="W391" s="690"/>
      <c r="X391" s="690"/>
      <c r="Y391" s="690"/>
      <c r="Z391" s="690"/>
      <c r="AA391" s="690"/>
      <c r="AB391" s="690"/>
      <c r="AC391" s="690"/>
      <c r="AD391" s="690"/>
      <c r="AE391" s="690"/>
    </row>
    <row r="392" spans="1:31" ht="15.75" customHeight="1">
      <c r="A392" s="690"/>
      <c r="B392" s="690"/>
      <c r="C392" s="690"/>
      <c r="D392" s="690"/>
      <c r="E392" s="690"/>
      <c r="F392" s="690"/>
      <c r="G392" s="690"/>
      <c r="H392" s="690"/>
      <c r="I392" s="690"/>
      <c r="J392" s="690"/>
      <c r="K392" s="690"/>
      <c r="L392" s="690"/>
      <c r="M392" s="690"/>
      <c r="N392" s="690"/>
      <c r="O392" s="690"/>
      <c r="P392" s="690"/>
      <c r="Q392" s="690"/>
      <c r="R392" s="690"/>
      <c r="S392" s="690"/>
      <c r="T392" s="690"/>
      <c r="U392" s="690"/>
      <c r="V392" s="690"/>
      <c r="W392" s="690"/>
      <c r="X392" s="690"/>
      <c r="Y392" s="690"/>
      <c r="Z392" s="690"/>
      <c r="AA392" s="690"/>
      <c r="AB392" s="690"/>
      <c r="AC392" s="690"/>
      <c r="AD392" s="690"/>
      <c r="AE392" s="690"/>
    </row>
    <row r="393" spans="1:31" ht="15.75" customHeight="1">
      <c r="A393" s="690"/>
      <c r="B393" s="690"/>
      <c r="C393" s="690"/>
      <c r="D393" s="690"/>
      <c r="E393" s="690"/>
      <c r="F393" s="690"/>
      <c r="G393" s="690"/>
      <c r="H393" s="690"/>
      <c r="I393" s="690"/>
      <c r="J393" s="690"/>
      <c r="K393" s="690"/>
      <c r="L393" s="690"/>
      <c r="M393" s="690"/>
      <c r="N393" s="690"/>
      <c r="O393" s="690"/>
      <c r="P393" s="690"/>
      <c r="Q393" s="690"/>
      <c r="R393" s="690"/>
      <c r="S393" s="690"/>
      <c r="T393" s="690"/>
      <c r="U393" s="690"/>
      <c r="V393" s="690"/>
      <c r="W393" s="690"/>
      <c r="X393" s="690"/>
      <c r="Y393" s="690"/>
      <c r="Z393" s="690"/>
      <c r="AA393" s="690"/>
      <c r="AB393" s="690"/>
      <c r="AC393" s="690"/>
      <c r="AD393" s="690"/>
      <c r="AE393" s="690"/>
    </row>
    <row r="394" spans="1:31" ht="15.75" customHeight="1">
      <c r="A394" s="690"/>
      <c r="B394" s="690"/>
      <c r="C394" s="690"/>
      <c r="D394" s="690"/>
      <c r="E394" s="690"/>
      <c r="F394" s="690"/>
      <c r="G394" s="690"/>
      <c r="H394" s="690"/>
      <c r="I394" s="690"/>
      <c r="J394" s="690"/>
      <c r="K394" s="690"/>
      <c r="L394" s="690"/>
      <c r="M394" s="690"/>
      <c r="N394" s="690"/>
      <c r="O394" s="690"/>
      <c r="P394" s="690"/>
      <c r="Q394" s="690"/>
      <c r="R394" s="690"/>
      <c r="S394" s="690"/>
      <c r="T394" s="690"/>
      <c r="U394" s="690"/>
      <c r="V394" s="690"/>
      <c r="W394" s="690"/>
      <c r="X394" s="690"/>
      <c r="Y394" s="690"/>
      <c r="Z394" s="690"/>
      <c r="AA394" s="690"/>
      <c r="AB394" s="690"/>
      <c r="AC394" s="690"/>
      <c r="AD394" s="690"/>
      <c r="AE394" s="690"/>
    </row>
    <row r="395" spans="1:31" ht="15.75" customHeight="1">
      <c r="A395" s="690"/>
      <c r="B395" s="690"/>
      <c r="C395" s="690"/>
      <c r="D395" s="690"/>
      <c r="E395" s="690"/>
      <c r="F395" s="690"/>
      <c r="G395" s="690"/>
      <c r="H395" s="690"/>
      <c r="I395" s="690"/>
      <c r="J395" s="690"/>
      <c r="K395" s="690"/>
      <c r="L395" s="690"/>
      <c r="M395" s="690"/>
      <c r="N395" s="690"/>
      <c r="O395" s="690"/>
      <c r="P395" s="690"/>
      <c r="Q395" s="690"/>
      <c r="R395" s="690"/>
      <c r="S395" s="690"/>
      <c r="T395" s="690"/>
      <c r="U395" s="690"/>
      <c r="V395" s="690"/>
      <c r="W395" s="690"/>
      <c r="X395" s="690"/>
      <c r="Y395" s="690"/>
      <c r="Z395" s="690"/>
      <c r="AA395" s="690"/>
      <c r="AB395" s="690"/>
      <c r="AC395" s="690"/>
      <c r="AD395" s="690"/>
      <c r="AE395" s="690"/>
    </row>
    <row r="396" spans="1:31" ht="15.75" customHeight="1">
      <c r="A396" s="690"/>
      <c r="B396" s="690"/>
      <c r="C396" s="690"/>
      <c r="D396" s="690"/>
      <c r="E396" s="690"/>
      <c r="F396" s="690"/>
      <c r="G396" s="690"/>
      <c r="H396" s="690"/>
      <c r="I396" s="690"/>
      <c r="J396" s="690"/>
      <c r="K396" s="690"/>
      <c r="L396" s="690"/>
      <c r="M396" s="690"/>
      <c r="N396" s="690"/>
      <c r="O396" s="690"/>
      <c r="P396" s="690"/>
      <c r="Q396" s="690"/>
      <c r="R396" s="690"/>
      <c r="S396" s="690"/>
      <c r="T396" s="690"/>
      <c r="U396" s="690"/>
      <c r="V396" s="690"/>
      <c r="W396" s="690"/>
      <c r="X396" s="690"/>
      <c r="Y396" s="690"/>
      <c r="Z396" s="690"/>
      <c r="AA396" s="690"/>
      <c r="AB396" s="690"/>
      <c r="AC396" s="690"/>
      <c r="AD396" s="690"/>
      <c r="AE396" s="690"/>
    </row>
    <row r="397" spans="1:31" ht="15.75" customHeight="1">
      <c r="A397" s="690"/>
      <c r="B397" s="690"/>
      <c r="C397" s="690"/>
      <c r="D397" s="690"/>
      <c r="E397" s="690"/>
      <c r="F397" s="690"/>
      <c r="G397" s="690"/>
      <c r="H397" s="690"/>
      <c r="I397" s="690"/>
      <c r="J397" s="690"/>
      <c r="K397" s="690"/>
      <c r="L397" s="690"/>
      <c r="M397" s="690"/>
      <c r="N397" s="690"/>
      <c r="O397" s="690"/>
      <c r="P397" s="690"/>
      <c r="Q397" s="690"/>
      <c r="R397" s="690"/>
      <c r="S397" s="690"/>
      <c r="T397" s="690"/>
      <c r="U397" s="690"/>
      <c r="V397" s="690"/>
      <c r="W397" s="690"/>
      <c r="X397" s="690"/>
      <c r="Y397" s="690"/>
      <c r="Z397" s="690"/>
      <c r="AA397" s="690"/>
      <c r="AB397" s="690"/>
      <c r="AC397" s="690"/>
      <c r="AD397" s="690"/>
      <c r="AE397" s="690"/>
    </row>
    <row r="398" spans="1:31" ht="15.75" customHeight="1">
      <c r="A398" s="690"/>
      <c r="B398" s="690"/>
      <c r="C398" s="690"/>
      <c r="D398" s="690"/>
      <c r="E398" s="690"/>
      <c r="F398" s="690"/>
      <c r="G398" s="690"/>
      <c r="H398" s="690"/>
      <c r="I398" s="690"/>
      <c r="J398" s="690"/>
      <c r="K398" s="690"/>
      <c r="L398" s="690"/>
      <c r="M398" s="690"/>
      <c r="N398" s="690"/>
      <c r="O398" s="690"/>
      <c r="P398" s="690"/>
      <c r="Q398" s="690"/>
      <c r="R398" s="690"/>
      <c r="S398" s="690"/>
      <c r="T398" s="690"/>
      <c r="U398" s="690"/>
      <c r="V398" s="690"/>
      <c r="W398" s="690"/>
      <c r="X398" s="690"/>
      <c r="Y398" s="690"/>
      <c r="Z398" s="690"/>
      <c r="AA398" s="690"/>
      <c r="AB398" s="690"/>
      <c r="AC398" s="690"/>
      <c r="AD398" s="690"/>
      <c r="AE398" s="690"/>
    </row>
    <row r="399" spans="1:31" ht="15.75" customHeight="1">
      <c r="A399" s="690"/>
      <c r="B399" s="690"/>
      <c r="C399" s="690"/>
      <c r="D399" s="690"/>
      <c r="E399" s="690"/>
      <c r="F399" s="690"/>
      <c r="G399" s="690"/>
      <c r="H399" s="690"/>
      <c r="I399" s="690"/>
      <c r="J399" s="690"/>
      <c r="K399" s="690"/>
      <c r="L399" s="690"/>
      <c r="M399" s="690"/>
      <c r="N399" s="690"/>
      <c r="O399" s="690"/>
      <c r="P399" s="690"/>
      <c r="Q399" s="690"/>
      <c r="R399" s="690"/>
      <c r="S399" s="690"/>
      <c r="T399" s="690"/>
      <c r="U399" s="690"/>
      <c r="V399" s="690"/>
      <c r="W399" s="690"/>
      <c r="X399" s="690"/>
      <c r="Y399" s="690"/>
      <c r="Z399" s="690"/>
      <c r="AA399" s="690"/>
      <c r="AB399" s="690"/>
      <c r="AC399" s="690"/>
      <c r="AD399" s="690"/>
      <c r="AE399" s="690"/>
    </row>
    <row r="400" spans="1:31" ht="15.75" customHeight="1">
      <c r="A400" s="690"/>
      <c r="B400" s="690"/>
      <c r="C400" s="690"/>
      <c r="D400" s="690"/>
      <c r="E400" s="690"/>
      <c r="F400" s="690"/>
      <c r="G400" s="690"/>
      <c r="H400" s="690"/>
      <c r="I400" s="690"/>
      <c r="J400" s="690"/>
      <c r="K400" s="690"/>
      <c r="L400" s="690"/>
      <c r="M400" s="690"/>
      <c r="N400" s="690"/>
      <c r="O400" s="690"/>
      <c r="P400" s="690"/>
      <c r="Q400" s="690"/>
      <c r="R400" s="690"/>
      <c r="S400" s="690"/>
      <c r="T400" s="690"/>
      <c r="U400" s="690"/>
      <c r="V400" s="690"/>
      <c r="W400" s="690"/>
      <c r="X400" s="690"/>
      <c r="Y400" s="690"/>
      <c r="Z400" s="690"/>
      <c r="AA400" s="690"/>
      <c r="AB400" s="690"/>
      <c r="AC400" s="690"/>
      <c r="AD400" s="690"/>
      <c r="AE400" s="690"/>
    </row>
    <row r="401" spans="1:31" ht="15.75" customHeight="1">
      <c r="A401" s="690"/>
      <c r="B401" s="690"/>
      <c r="C401" s="690"/>
      <c r="D401" s="690"/>
      <c r="E401" s="690"/>
      <c r="F401" s="690"/>
      <c r="G401" s="690"/>
      <c r="H401" s="690"/>
      <c r="I401" s="690"/>
      <c r="J401" s="690"/>
      <c r="K401" s="690"/>
      <c r="L401" s="690"/>
      <c r="M401" s="690"/>
      <c r="N401" s="690"/>
      <c r="O401" s="690"/>
      <c r="P401" s="690"/>
      <c r="Q401" s="690"/>
      <c r="R401" s="690"/>
      <c r="S401" s="690"/>
      <c r="T401" s="690"/>
      <c r="U401" s="690"/>
      <c r="V401" s="690"/>
      <c r="W401" s="690"/>
      <c r="X401" s="690"/>
      <c r="Y401" s="690"/>
      <c r="Z401" s="690"/>
      <c r="AA401" s="690"/>
      <c r="AB401" s="690"/>
      <c r="AC401" s="690"/>
      <c r="AD401" s="690"/>
      <c r="AE401" s="690"/>
    </row>
    <row r="402" spans="1:31" ht="15.75" customHeight="1">
      <c r="A402" s="690"/>
      <c r="B402" s="690"/>
      <c r="C402" s="690"/>
      <c r="D402" s="690"/>
      <c r="E402" s="690"/>
      <c r="F402" s="690"/>
      <c r="G402" s="690"/>
      <c r="H402" s="690"/>
      <c r="I402" s="690"/>
      <c r="J402" s="690"/>
      <c r="K402" s="690"/>
      <c r="L402" s="690"/>
      <c r="M402" s="690"/>
      <c r="N402" s="690"/>
      <c r="O402" s="690"/>
      <c r="P402" s="690"/>
      <c r="Q402" s="690"/>
      <c r="R402" s="690"/>
      <c r="S402" s="690"/>
      <c r="T402" s="690"/>
      <c r="U402" s="690"/>
      <c r="V402" s="690"/>
      <c r="W402" s="690"/>
      <c r="X402" s="690"/>
      <c r="Y402" s="690"/>
      <c r="Z402" s="690"/>
      <c r="AA402" s="690"/>
      <c r="AB402" s="690"/>
      <c r="AC402" s="690"/>
      <c r="AD402" s="690"/>
      <c r="AE402" s="690"/>
    </row>
    <row r="403" spans="1:31" ht="15.75" customHeight="1">
      <c r="A403" s="690"/>
      <c r="B403" s="690"/>
      <c r="C403" s="690"/>
      <c r="D403" s="690"/>
      <c r="E403" s="690"/>
      <c r="F403" s="690"/>
      <c r="G403" s="690"/>
      <c r="H403" s="690"/>
      <c r="I403" s="690"/>
      <c r="J403" s="690"/>
      <c r="K403" s="690"/>
      <c r="L403" s="690"/>
      <c r="M403" s="690"/>
      <c r="N403" s="690"/>
      <c r="O403" s="690"/>
      <c r="P403" s="690"/>
      <c r="Q403" s="690"/>
      <c r="R403" s="690"/>
      <c r="S403" s="690"/>
      <c r="T403" s="690"/>
      <c r="U403" s="690"/>
      <c r="V403" s="690"/>
      <c r="W403" s="690"/>
      <c r="X403" s="690"/>
      <c r="Y403" s="690"/>
      <c r="Z403" s="690"/>
      <c r="AA403" s="690"/>
      <c r="AB403" s="690"/>
      <c r="AC403" s="690"/>
      <c r="AD403" s="690"/>
      <c r="AE403" s="690"/>
    </row>
    <row r="404" spans="1:31" ht="15.75" customHeight="1">
      <c r="A404" s="690"/>
      <c r="B404" s="690"/>
      <c r="C404" s="690"/>
      <c r="D404" s="690"/>
      <c r="E404" s="690"/>
      <c r="F404" s="690"/>
      <c r="G404" s="690"/>
      <c r="H404" s="690"/>
      <c r="I404" s="690"/>
      <c r="J404" s="690"/>
      <c r="K404" s="690"/>
      <c r="L404" s="690"/>
      <c r="M404" s="690"/>
      <c r="N404" s="690"/>
      <c r="O404" s="690"/>
      <c r="P404" s="690"/>
      <c r="Q404" s="690"/>
      <c r="R404" s="690"/>
      <c r="S404" s="690"/>
      <c r="T404" s="690"/>
      <c r="U404" s="690"/>
      <c r="V404" s="690"/>
      <c r="W404" s="690"/>
      <c r="X404" s="690"/>
      <c r="Y404" s="690"/>
      <c r="Z404" s="690"/>
      <c r="AA404" s="690"/>
      <c r="AB404" s="690"/>
      <c r="AC404" s="690"/>
      <c r="AD404" s="690"/>
      <c r="AE404" s="690"/>
    </row>
    <row r="405" spans="1:31" ht="15.75" customHeight="1">
      <c r="A405" s="690"/>
      <c r="B405" s="690"/>
      <c r="C405" s="690"/>
      <c r="D405" s="690"/>
      <c r="E405" s="690"/>
      <c r="F405" s="690"/>
      <c r="G405" s="690"/>
      <c r="H405" s="690"/>
      <c r="I405" s="690"/>
      <c r="J405" s="690"/>
      <c r="K405" s="690"/>
      <c r="L405" s="690"/>
      <c r="M405" s="690"/>
      <c r="N405" s="690"/>
      <c r="O405" s="690"/>
      <c r="P405" s="690"/>
      <c r="Q405" s="690"/>
      <c r="R405" s="690"/>
      <c r="S405" s="690"/>
      <c r="T405" s="690"/>
      <c r="U405" s="690"/>
      <c r="V405" s="690"/>
      <c r="W405" s="690"/>
      <c r="X405" s="690"/>
      <c r="Y405" s="690"/>
      <c r="Z405" s="690"/>
      <c r="AA405" s="690"/>
      <c r="AB405" s="690"/>
      <c r="AC405" s="690"/>
      <c r="AD405" s="690"/>
      <c r="AE405" s="690"/>
    </row>
    <row r="406" spans="1:31" ht="15.75" customHeight="1">
      <c r="A406" s="690"/>
      <c r="B406" s="690"/>
      <c r="C406" s="690"/>
      <c r="D406" s="690"/>
      <c r="E406" s="690"/>
      <c r="F406" s="690"/>
      <c r="G406" s="690"/>
      <c r="H406" s="690"/>
      <c r="I406" s="690"/>
      <c r="J406" s="690"/>
      <c r="K406" s="690"/>
      <c r="L406" s="690"/>
      <c r="M406" s="690"/>
      <c r="N406" s="690"/>
      <c r="O406" s="690"/>
      <c r="P406" s="690"/>
      <c r="Q406" s="690"/>
      <c r="R406" s="690"/>
      <c r="S406" s="690"/>
      <c r="T406" s="690"/>
      <c r="U406" s="690"/>
      <c r="V406" s="690"/>
      <c r="W406" s="690"/>
      <c r="X406" s="690"/>
      <c r="Y406" s="690"/>
      <c r="Z406" s="690"/>
      <c r="AA406" s="690"/>
      <c r="AB406" s="690"/>
      <c r="AC406" s="690"/>
      <c r="AD406" s="690"/>
      <c r="AE406" s="690"/>
    </row>
    <row r="407" spans="1:31" ht="15.75" customHeight="1">
      <c r="A407" s="690"/>
      <c r="B407" s="690"/>
      <c r="C407" s="690"/>
      <c r="D407" s="690"/>
      <c r="E407" s="690"/>
      <c r="F407" s="690"/>
      <c r="G407" s="690"/>
      <c r="H407" s="690"/>
      <c r="I407" s="690"/>
      <c r="J407" s="690"/>
      <c r="K407" s="690"/>
      <c r="L407" s="690"/>
      <c r="M407" s="690"/>
      <c r="N407" s="690"/>
      <c r="O407" s="690"/>
      <c r="P407" s="690"/>
      <c r="Q407" s="690"/>
      <c r="R407" s="690"/>
      <c r="S407" s="690"/>
      <c r="T407" s="690"/>
      <c r="U407" s="690"/>
      <c r="V407" s="690"/>
      <c r="W407" s="690"/>
      <c r="X407" s="690"/>
      <c r="Y407" s="690"/>
      <c r="Z407" s="690"/>
      <c r="AA407" s="690"/>
      <c r="AB407" s="690"/>
      <c r="AC407" s="690"/>
      <c r="AD407" s="690"/>
      <c r="AE407" s="690"/>
    </row>
    <row r="408" spans="1:31" ht="15.75" customHeight="1">
      <c r="A408" s="690"/>
      <c r="B408" s="690"/>
      <c r="C408" s="690"/>
      <c r="D408" s="690"/>
      <c r="E408" s="690"/>
      <c r="F408" s="690"/>
      <c r="G408" s="690"/>
      <c r="H408" s="690"/>
      <c r="I408" s="690"/>
      <c r="J408" s="690"/>
      <c r="K408" s="690"/>
      <c r="L408" s="690"/>
      <c r="M408" s="690"/>
      <c r="N408" s="690"/>
      <c r="O408" s="690"/>
      <c r="P408" s="690"/>
      <c r="Q408" s="690"/>
      <c r="R408" s="690"/>
      <c r="S408" s="690"/>
      <c r="T408" s="690"/>
      <c r="U408" s="690"/>
      <c r="V408" s="690"/>
      <c r="W408" s="690"/>
      <c r="X408" s="690"/>
      <c r="Y408" s="690"/>
      <c r="Z408" s="690"/>
      <c r="AA408" s="690"/>
      <c r="AB408" s="690"/>
      <c r="AC408" s="690"/>
      <c r="AD408" s="690"/>
      <c r="AE408" s="690"/>
    </row>
    <row r="409" spans="1:31" ht="15.75" customHeight="1">
      <c r="A409" s="690"/>
      <c r="B409" s="690"/>
      <c r="C409" s="690"/>
      <c r="D409" s="690"/>
      <c r="E409" s="690"/>
      <c r="F409" s="690"/>
      <c r="G409" s="690"/>
      <c r="H409" s="690"/>
      <c r="I409" s="690"/>
      <c r="J409" s="690"/>
      <c r="K409" s="690"/>
      <c r="L409" s="690"/>
      <c r="M409" s="690"/>
      <c r="N409" s="690"/>
      <c r="O409" s="690"/>
      <c r="P409" s="690"/>
      <c r="Q409" s="690"/>
      <c r="R409" s="690"/>
      <c r="S409" s="690"/>
      <c r="T409" s="690"/>
      <c r="U409" s="690"/>
      <c r="V409" s="690"/>
      <c r="W409" s="690"/>
      <c r="X409" s="690"/>
      <c r="Y409" s="690"/>
      <c r="Z409" s="690"/>
      <c r="AA409" s="690"/>
      <c r="AB409" s="690"/>
      <c r="AC409" s="690"/>
      <c r="AD409" s="690"/>
      <c r="AE409" s="690"/>
    </row>
    <row r="410" spans="1:31" ht="15.75" customHeight="1">
      <c r="A410" s="690"/>
      <c r="B410" s="690"/>
      <c r="C410" s="690"/>
      <c r="D410" s="690"/>
      <c r="E410" s="690"/>
      <c r="F410" s="690"/>
      <c r="G410" s="690"/>
      <c r="H410" s="690"/>
      <c r="I410" s="690"/>
      <c r="J410" s="690"/>
      <c r="K410" s="690"/>
      <c r="L410" s="690"/>
      <c r="M410" s="690"/>
      <c r="N410" s="690"/>
      <c r="O410" s="690"/>
      <c r="P410" s="690"/>
      <c r="Q410" s="690"/>
      <c r="R410" s="690"/>
      <c r="S410" s="690"/>
      <c r="T410" s="690"/>
      <c r="U410" s="690"/>
      <c r="V410" s="690"/>
      <c r="W410" s="690"/>
      <c r="X410" s="690"/>
      <c r="Y410" s="690"/>
      <c r="Z410" s="690"/>
      <c r="AA410" s="690"/>
      <c r="AB410" s="690"/>
      <c r="AC410" s="690"/>
      <c r="AD410" s="690"/>
      <c r="AE410" s="690"/>
    </row>
    <row r="411" spans="1:31" ht="15.75" customHeight="1">
      <c r="A411" s="690"/>
      <c r="B411" s="690"/>
      <c r="C411" s="690"/>
      <c r="D411" s="690"/>
      <c r="E411" s="690"/>
      <c r="F411" s="690"/>
      <c r="G411" s="690"/>
      <c r="H411" s="690"/>
      <c r="I411" s="690"/>
      <c r="J411" s="690"/>
      <c r="K411" s="690"/>
      <c r="L411" s="690"/>
      <c r="M411" s="690"/>
      <c r="N411" s="690"/>
      <c r="O411" s="690"/>
      <c r="P411" s="690"/>
      <c r="Q411" s="690"/>
      <c r="R411" s="690"/>
      <c r="S411" s="690"/>
      <c r="T411" s="690"/>
      <c r="U411" s="690"/>
      <c r="V411" s="690"/>
      <c r="W411" s="690"/>
      <c r="X411" s="690"/>
      <c r="Y411" s="690"/>
      <c r="Z411" s="690"/>
      <c r="AA411" s="690"/>
      <c r="AB411" s="690"/>
      <c r="AC411" s="690"/>
      <c r="AD411" s="690"/>
      <c r="AE411" s="690"/>
    </row>
    <row r="412" spans="1:31" ht="15.75" customHeight="1">
      <c r="A412" s="690"/>
      <c r="B412" s="690"/>
      <c r="C412" s="690"/>
      <c r="D412" s="690"/>
      <c r="E412" s="690"/>
      <c r="F412" s="690"/>
      <c r="G412" s="690"/>
      <c r="H412" s="690"/>
      <c r="I412" s="690"/>
      <c r="J412" s="690"/>
      <c r="K412" s="690"/>
      <c r="L412" s="690"/>
      <c r="M412" s="690"/>
      <c r="N412" s="690"/>
      <c r="O412" s="690"/>
      <c r="P412" s="690"/>
      <c r="Q412" s="690"/>
      <c r="R412" s="690"/>
      <c r="S412" s="690"/>
      <c r="T412" s="690"/>
      <c r="U412" s="690"/>
      <c r="V412" s="690"/>
      <c r="W412" s="690"/>
      <c r="X412" s="690"/>
      <c r="Y412" s="690"/>
      <c r="Z412" s="690"/>
      <c r="AA412" s="690"/>
      <c r="AB412" s="690"/>
      <c r="AC412" s="690"/>
      <c r="AD412" s="690"/>
      <c r="AE412" s="690"/>
    </row>
    <row r="413" spans="1:31" ht="15.75" customHeight="1">
      <c r="A413" s="690"/>
      <c r="B413" s="690"/>
      <c r="C413" s="690"/>
      <c r="D413" s="690"/>
      <c r="E413" s="690"/>
      <c r="F413" s="690"/>
      <c r="G413" s="690"/>
      <c r="H413" s="690"/>
      <c r="I413" s="690"/>
      <c r="J413" s="690"/>
      <c r="K413" s="690"/>
      <c r="L413" s="690"/>
      <c r="M413" s="690"/>
      <c r="N413" s="690"/>
      <c r="O413" s="690"/>
      <c r="P413" s="690"/>
      <c r="Q413" s="690"/>
      <c r="R413" s="690"/>
      <c r="S413" s="690"/>
      <c r="T413" s="690"/>
      <c r="U413" s="690"/>
      <c r="V413" s="690"/>
      <c r="W413" s="690"/>
      <c r="X413" s="690"/>
      <c r="Y413" s="690"/>
      <c r="Z413" s="690"/>
      <c r="AA413" s="690"/>
      <c r="AB413" s="690"/>
      <c r="AC413" s="690"/>
      <c r="AD413" s="690"/>
      <c r="AE413" s="690"/>
    </row>
    <row r="414" spans="1:31" ht="15.75" customHeight="1">
      <c r="A414" s="690"/>
      <c r="B414" s="690"/>
      <c r="C414" s="690"/>
      <c r="D414" s="690"/>
      <c r="E414" s="690"/>
      <c r="F414" s="690"/>
      <c r="G414" s="690"/>
      <c r="H414" s="690"/>
      <c r="I414" s="690"/>
      <c r="J414" s="690"/>
      <c r="K414" s="690"/>
      <c r="L414" s="690"/>
      <c r="M414" s="690"/>
      <c r="N414" s="690"/>
      <c r="O414" s="690"/>
      <c r="P414" s="690"/>
      <c r="Q414" s="690"/>
      <c r="R414" s="690"/>
      <c r="S414" s="690"/>
      <c r="T414" s="690"/>
      <c r="U414" s="690"/>
      <c r="V414" s="690"/>
      <c r="W414" s="690"/>
      <c r="X414" s="690"/>
      <c r="Y414" s="690"/>
      <c r="Z414" s="690"/>
      <c r="AA414" s="690"/>
      <c r="AB414" s="690"/>
      <c r="AC414" s="690"/>
      <c r="AD414" s="690"/>
      <c r="AE414" s="690"/>
    </row>
    <row r="415" spans="1:31" ht="15.75" customHeight="1">
      <c r="A415" s="690"/>
      <c r="B415" s="690"/>
      <c r="C415" s="690"/>
      <c r="D415" s="690"/>
      <c r="E415" s="690"/>
      <c r="F415" s="690"/>
      <c r="G415" s="690"/>
      <c r="H415" s="690"/>
      <c r="I415" s="690"/>
      <c r="J415" s="690"/>
      <c r="K415" s="690"/>
      <c r="L415" s="690"/>
      <c r="M415" s="690"/>
      <c r="N415" s="690"/>
      <c r="O415" s="690"/>
      <c r="P415" s="690"/>
      <c r="Q415" s="690"/>
      <c r="R415" s="690"/>
      <c r="S415" s="690"/>
      <c r="T415" s="690"/>
      <c r="U415" s="690"/>
      <c r="V415" s="690"/>
      <c r="W415" s="690"/>
      <c r="X415" s="690"/>
      <c r="Y415" s="690"/>
      <c r="Z415" s="690"/>
      <c r="AA415" s="690"/>
      <c r="AB415" s="690"/>
      <c r="AC415" s="690"/>
      <c r="AD415" s="690"/>
      <c r="AE415" s="690"/>
    </row>
    <row r="416" spans="1:31" ht="15.75" customHeight="1">
      <c r="A416" s="690"/>
      <c r="B416" s="690"/>
      <c r="C416" s="690"/>
      <c r="D416" s="690"/>
      <c r="E416" s="690"/>
      <c r="F416" s="690"/>
      <c r="G416" s="690"/>
      <c r="H416" s="690"/>
      <c r="I416" s="690"/>
      <c r="J416" s="690"/>
      <c r="K416" s="690"/>
      <c r="L416" s="690"/>
      <c r="M416" s="690"/>
      <c r="N416" s="690"/>
      <c r="O416" s="690"/>
      <c r="P416" s="690"/>
      <c r="Q416" s="690"/>
      <c r="R416" s="690"/>
      <c r="S416" s="690"/>
      <c r="T416" s="690"/>
      <c r="U416" s="690"/>
      <c r="V416" s="690"/>
      <c r="W416" s="690"/>
      <c r="X416" s="690"/>
      <c r="Y416" s="690"/>
      <c r="Z416" s="690"/>
      <c r="AA416" s="690"/>
      <c r="AB416" s="690"/>
      <c r="AC416" s="690"/>
      <c r="AD416" s="690"/>
      <c r="AE416" s="690"/>
    </row>
    <row r="417" spans="1:31" ht="15.75" customHeight="1">
      <c r="A417" s="690"/>
      <c r="B417" s="690"/>
      <c r="C417" s="690"/>
      <c r="D417" s="690"/>
      <c r="E417" s="690"/>
      <c r="F417" s="690"/>
      <c r="G417" s="690"/>
      <c r="H417" s="690"/>
      <c r="I417" s="690"/>
      <c r="J417" s="690"/>
      <c r="K417" s="690"/>
      <c r="L417" s="690"/>
      <c r="M417" s="690"/>
      <c r="N417" s="690"/>
      <c r="O417" s="690"/>
      <c r="P417" s="690"/>
      <c r="Q417" s="690"/>
      <c r="R417" s="690"/>
      <c r="S417" s="690"/>
      <c r="T417" s="690"/>
      <c r="U417" s="690"/>
      <c r="V417" s="690"/>
      <c r="W417" s="690"/>
      <c r="X417" s="690"/>
      <c r="Y417" s="690"/>
      <c r="Z417" s="690"/>
      <c r="AA417" s="690"/>
      <c r="AB417" s="690"/>
      <c r="AC417" s="690"/>
      <c r="AD417" s="690"/>
      <c r="AE417" s="690"/>
    </row>
    <row r="418" spans="1:31" ht="15.75" customHeight="1">
      <c r="A418" s="690"/>
      <c r="B418" s="690"/>
      <c r="C418" s="690"/>
      <c r="D418" s="690"/>
      <c r="E418" s="690"/>
      <c r="F418" s="690"/>
      <c r="G418" s="690"/>
      <c r="H418" s="690"/>
      <c r="I418" s="690"/>
      <c r="J418" s="690"/>
      <c r="K418" s="690"/>
      <c r="L418" s="690"/>
      <c r="M418" s="690"/>
      <c r="N418" s="690"/>
      <c r="O418" s="690"/>
      <c r="P418" s="690"/>
      <c r="Q418" s="690"/>
      <c r="R418" s="690"/>
      <c r="S418" s="690"/>
      <c r="T418" s="690"/>
      <c r="U418" s="690"/>
      <c r="V418" s="690"/>
      <c r="W418" s="690"/>
      <c r="X418" s="690"/>
      <c r="Y418" s="690"/>
      <c r="Z418" s="690"/>
      <c r="AA418" s="690"/>
      <c r="AB418" s="690"/>
      <c r="AC418" s="690"/>
      <c r="AD418" s="690"/>
      <c r="AE418" s="690"/>
    </row>
    <row r="419" spans="1:31" ht="15.75" customHeight="1">
      <c r="A419" s="690"/>
      <c r="B419" s="690"/>
      <c r="C419" s="690"/>
      <c r="D419" s="690"/>
      <c r="E419" s="690"/>
      <c r="F419" s="690"/>
      <c r="G419" s="690"/>
      <c r="H419" s="690"/>
      <c r="I419" s="690"/>
      <c r="J419" s="690"/>
      <c r="K419" s="690"/>
      <c r="L419" s="690"/>
      <c r="M419" s="690"/>
      <c r="N419" s="690"/>
      <c r="O419" s="690"/>
      <c r="P419" s="690"/>
      <c r="Q419" s="690"/>
      <c r="R419" s="690"/>
      <c r="S419" s="690"/>
      <c r="T419" s="690"/>
      <c r="U419" s="690"/>
      <c r="V419" s="690"/>
      <c r="W419" s="690"/>
      <c r="X419" s="690"/>
      <c r="Y419" s="690"/>
      <c r="Z419" s="690"/>
      <c r="AA419" s="690"/>
      <c r="AB419" s="690"/>
      <c r="AC419" s="690"/>
      <c r="AD419" s="690"/>
      <c r="AE419" s="690"/>
    </row>
    <row r="420" spans="1:31" ht="15.75" customHeight="1">
      <c r="A420" s="690"/>
      <c r="B420" s="690"/>
      <c r="C420" s="690"/>
      <c r="D420" s="690"/>
      <c r="E420" s="690"/>
      <c r="F420" s="690"/>
      <c r="G420" s="690"/>
      <c r="H420" s="690"/>
      <c r="I420" s="690"/>
      <c r="J420" s="690"/>
      <c r="K420" s="690"/>
      <c r="L420" s="690"/>
      <c r="M420" s="690"/>
      <c r="N420" s="690"/>
      <c r="O420" s="690"/>
      <c r="P420" s="690"/>
      <c r="Q420" s="690"/>
      <c r="R420" s="690"/>
      <c r="S420" s="690"/>
      <c r="T420" s="690"/>
      <c r="U420" s="690"/>
      <c r="V420" s="690"/>
      <c r="W420" s="690"/>
      <c r="X420" s="690"/>
      <c r="Y420" s="690"/>
      <c r="Z420" s="690"/>
      <c r="AA420" s="690"/>
      <c r="AB420" s="690"/>
      <c r="AC420" s="690"/>
      <c r="AD420" s="690"/>
      <c r="AE420" s="690"/>
    </row>
    <row r="421" spans="1:31" ht="15.75" customHeight="1">
      <c r="A421" s="690"/>
      <c r="B421" s="690"/>
      <c r="C421" s="690"/>
      <c r="D421" s="690"/>
      <c r="E421" s="690"/>
      <c r="F421" s="690"/>
      <c r="G421" s="690"/>
      <c r="H421" s="690"/>
      <c r="I421" s="690"/>
      <c r="J421" s="690"/>
      <c r="K421" s="690"/>
      <c r="L421" s="690"/>
      <c r="M421" s="690"/>
      <c r="N421" s="690"/>
      <c r="O421" s="690"/>
      <c r="P421" s="690"/>
      <c r="Q421" s="690"/>
      <c r="R421" s="690"/>
      <c r="S421" s="690"/>
      <c r="T421" s="690"/>
      <c r="U421" s="690"/>
      <c r="V421" s="690"/>
      <c r="W421" s="690"/>
      <c r="X421" s="690"/>
      <c r="Y421" s="690"/>
      <c r="Z421" s="690"/>
      <c r="AA421" s="690"/>
      <c r="AB421" s="690"/>
      <c r="AC421" s="690"/>
      <c r="AD421" s="690"/>
      <c r="AE421" s="690"/>
    </row>
    <row r="422" spans="1:31" ht="15.75" customHeight="1">
      <c r="A422" s="690"/>
      <c r="B422" s="690"/>
      <c r="C422" s="690"/>
      <c r="D422" s="690"/>
      <c r="E422" s="690"/>
      <c r="F422" s="690"/>
      <c r="G422" s="690"/>
      <c r="H422" s="690"/>
      <c r="I422" s="690"/>
      <c r="J422" s="690"/>
      <c r="K422" s="690"/>
      <c r="L422" s="690"/>
      <c r="M422" s="690"/>
      <c r="N422" s="690"/>
      <c r="O422" s="690"/>
      <c r="P422" s="690"/>
      <c r="Q422" s="690"/>
      <c r="R422" s="690"/>
      <c r="S422" s="690"/>
      <c r="T422" s="690"/>
      <c r="U422" s="690"/>
      <c r="V422" s="690"/>
      <c r="W422" s="690"/>
      <c r="X422" s="690"/>
      <c r="Y422" s="690"/>
      <c r="Z422" s="690"/>
      <c r="AA422" s="690"/>
      <c r="AB422" s="690"/>
      <c r="AC422" s="690"/>
      <c r="AD422" s="690"/>
      <c r="AE422" s="690"/>
    </row>
    <row r="423" spans="1:31" ht="15.75" customHeight="1">
      <c r="A423" s="690"/>
      <c r="B423" s="690"/>
      <c r="C423" s="690"/>
      <c r="D423" s="690"/>
      <c r="E423" s="690"/>
      <c r="F423" s="690"/>
      <c r="G423" s="690"/>
      <c r="H423" s="690"/>
      <c r="I423" s="690"/>
      <c r="J423" s="690"/>
      <c r="K423" s="690"/>
      <c r="L423" s="690"/>
      <c r="M423" s="690"/>
      <c r="N423" s="690"/>
      <c r="O423" s="690"/>
      <c r="P423" s="690"/>
      <c r="Q423" s="690"/>
      <c r="R423" s="690"/>
      <c r="S423" s="690"/>
      <c r="T423" s="690"/>
      <c r="U423" s="690"/>
      <c r="V423" s="690"/>
      <c r="W423" s="690"/>
      <c r="X423" s="690"/>
      <c r="Y423" s="690"/>
      <c r="Z423" s="690"/>
      <c r="AA423" s="690"/>
      <c r="AB423" s="690"/>
      <c r="AC423" s="690"/>
      <c r="AD423" s="690"/>
      <c r="AE423" s="690"/>
    </row>
    <row r="424" spans="1:31" ht="15.75" customHeight="1">
      <c r="A424" s="690"/>
      <c r="B424" s="690"/>
      <c r="C424" s="690"/>
      <c r="D424" s="690"/>
      <c r="E424" s="690"/>
      <c r="F424" s="690"/>
      <c r="G424" s="690"/>
      <c r="H424" s="690"/>
      <c r="I424" s="690"/>
      <c r="J424" s="690"/>
      <c r="K424" s="690"/>
      <c r="L424" s="690"/>
      <c r="M424" s="690"/>
      <c r="N424" s="690"/>
      <c r="O424" s="690"/>
      <c r="P424" s="690"/>
      <c r="Q424" s="690"/>
      <c r="R424" s="690"/>
      <c r="S424" s="690"/>
      <c r="T424" s="690"/>
      <c r="U424" s="690"/>
      <c r="V424" s="690"/>
      <c r="W424" s="690"/>
      <c r="X424" s="690"/>
      <c r="Y424" s="690"/>
      <c r="Z424" s="690"/>
      <c r="AA424" s="690"/>
      <c r="AB424" s="690"/>
      <c r="AC424" s="690"/>
      <c r="AD424" s="690"/>
      <c r="AE424" s="690"/>
    </row>
    <row r="425" spans="1:31" ht="15.75" customHeight="1">
      <c r="A425" s="690"/>
      <c r="B425" s="690"/>
      <c r="C425" s="690"/>
      <c r="D425" s="690"/>
      <c r="E425" s="690"/>
      <c r="F425" s="690"/>
      <c r="G425" s="690"/>
      <c r="H425" s="690"/>
      <c r="I425" s="690"/>
      <c r="J425" s="690"/>
      <c r="K425" s="690"/>
      <c r="L425" s="690"/>
      <c r="M425" s="690"/>
      <c r="N425" s="690"/>
      <c r="O425" s="690"/>
      <c r="P425" s="690"/>
      <c r="Q425" s="690"/>
      <c r="R425" s="690"/>
      <c r="S425" s="690"/>
      <c r="T425" s="690"/>
      <c r="U425" s="690"/>
      <c r="V425" s="690"/>
      <c r="W425" s="690"/>
      <c r="X425" s="690"/>
      <c r="Y425" s="690"/>
      <c r="Z425" s="690"/>
      <c r="AA425" s="690"/>
      <c r="AB425" s="690"/>
      <c r="AC425" s="690"/>
      <c r="AD425" s="690"/>
      <c r="AE425" s="690"/>
    </row>
    <row r="426" spans="1:31" ht="15.75" customHeight="1">
      <c r="A426" s="690"/>
      <c r="B426" s="690"/>
      <c r="C426" s="690"/>
      <c r="D426" s="690"/>
      <c r="E426" s="690"/>
      <c r="F426" s="690"/>
      <c r="G426" s="690"/>
      <c r="H426" s="690"/>
      <c r="I426" s="690"/>
      <c r="J426" s="690"/>
      <c r="K426" s="690"/>
      <c r="L426" s="690"/>
      <c r="M426" s="690"/>
      <c r="N426" s="690"/>
      <c r="O426" s="690"/>
      <c r="P426" s="690"/>
      <c r="Q426" s="690"/>
      <c r="R426" s="690"/>
      <c r="S426" s="690"/>
      <c r="T426" s="690"/>
      <c r="U426" s="690"/>
      <c r="V426" s="690"/>
      <c r="W426" s="690"/>
      <c r="X426" s="690"/>
      <c r="Y426" s="690"/>
      <c r="Z426" s="690"/>
      <c r="AA426" s="690"/>
      <c r="AB426" s="690"/>
      <c r="AC426" s="690"/>
      <c r="AD426" s="690"/>
      <c r="AE426" s="690"/>
    </row>
    <row r="427" spans="1:31" ht="15.75" customHeight="1">
      <c r="A427" s="690"/>
      <c r="B427" s="690"/>
      <c r="C427" s="690"/>
      <c r="D427" s="690"/>
      <c r="E427" s="690"/>
      <c r="F427" s="690"/>
      <c r="G427" s="690"/>
      <c r="H427" s="690"/>
      <c r="I427" s="690"/>
      <c r="J427" s="690"/>
      <c r="K427" s="690"/>
      <c r="L427" s="690"/>
      <c r="M427" s="690"/>
      <c r="N427" s="690"/>
      <c r="O427" s="690"/>
      <c r="P427" s="690"/>
      <c r="Q427" s="690"/>
      <c r="R427" s="690"/>
      <c r="S427" s="690"/>
      <c r="T427" s="690"/>
      <c r="U427" s="690"/>
      <c r="V427" s="690"/>
      <c r="W427" s="690"/>
      <c r="X427" s="690"/>
      <c r="Y427" s="690"/>
      <c r="Z427" s="690"/>
      <c r="AA427" s="690"/>
      <c r="AB427" s="690"/>
      <c r="AC427" s="690"/>
      <c r="AD427" s="690"/>
      <c r="AE427" s="690"/>
    </row>
    <row r="428" spans="1:31" ht="15.75" customHeight="1">
      <c r="A428" s="690"/>
      <c r="B428" s="690"/>
      <c r="C428" s="690"/>
      <c r="D428" s="690"/>
      <c r="E428" s="690"/>
      <c r="F428" s="690"/>
      <c r="G428" s="690"/>
      <c r="H428" s="690"/>
      <c r="I428" s="690"/>
      <c r="J428" s="690"/>
      <c r="K428" s="690"/>
      <c r="L428" s="690"/>
      <c r="M428" s="690"/>
      <c r="N428" s="690"/>
      <c r="O428" s="690"/>
      <c r="P428" s="690"/>
      <c r="Q428" s="690"/>
      <c r="R428" s="690"/>
      <c r="S428" s="690"/>
      <c r="T428" s="690"/>
      <c r="U428" s="690"/>
      <c r="V428" s="690"/>
      <c r="W428" s="690"/>
      <c r="X428" s="690"/>
      <c r="Y428" s="690"/>
      <c r="Z428" s="690"/>
      <c r="AA428" s="690"/>
      <c r="AB428" s="690"/>
      <c r="AC428" s="690"/>
      <c r="AD428" s="690"/>
      <c r="AE428" s="690"/>
    </row>
    <row r="429" spans="1:31" ht="15.75" customHeight="1">
      <c r="A429" s="690"/>
      <c r="B429" s="690"/>
      <c r="C429" s="690"/>
      <c r="D429" s="690"/>
      <c r="E429" s="690"/>
      <c r="F429" s="690"/>
      <c r="G429" s="690"/>
      <c r="H429" s="690"/>
      <c r="I429" s="690"/>
      <c r="J429" s="690"/>
      <c r="K429" s="690"/>
      <c r="L429" s="690"/>
      <c r="M429" s="690"/>
      <c r="N429" s="690"/>
      <c r="O429" s="690"/>
      <c r="P429" s="690"/>
      <c r="Q429" s="690"/>
      <c r="R429" s="690"/>
      <c r="S429" s="690"/>
      <c r="T429" s="690"/>
      <c r="U429" s="690"/>
      <c r="V429" s="690"/>
      <c r="W429" s="690"/>
      <c r="X429" s="690"/>
      <c r="Y429" s="690"/>
      <c r="Z429" s="690"/>
      <c r="AA429" s="690"/>
      <c r="AB429" s="690"/>
      <c r="AC429" s="690"/>
      <c r="AD429" s="690"/>
      <c r="AE429" s="690"/>
    </row>
    <row r="430" spans="1:31" ht="15.75" customHeight="1">
      <c r="A430" s="690"/>
      <c r="B430" s="690"/>
      <c r="C430" s="690"/>
      <c r="D430" s="690"/>
      <c r="E430" s="690"/>
      <c r="F430" s="690"/>
      <c r="G430" s="690"/>
      <c r="H430" s="690"/>
      <c r="I430" s="690"/>
      <c r="J430" s="690"/>
      <c r="K430" s="690"/>
      <c r="L430" s="690"/>
      <c r="M430" s="690"/>
      <c r="N430" s="690"/>
      <c r="O430" s="690"/>
      <c r="P430" s="690"/>
      <c r="Q430" s="690"/>
      <c r="R430" s="690"/>
      <c r="S430" s="690"/>
      <c r="T430" s="690"/>
      <c r="U430" s="690"/>
      <c r="V430" s="690"/>
      <c r="W430" s="690"/>
      <c r="X430" s="690"/>
      <c r="Y430" s="690"/>
      <c r="Z430" s="690"/>
      <c r="AA430" s="690"/>
      <c r="AB430" s="690"/>
      <c r="AC430" s="690"/>
      <c r="AD430" s="690"/>
      <c r="AE430" s="690"/>
    </row>
    <row r="431" spans="1:31" ht="15.75" customHeight="1">
      <c r="A431" s="690"/>
      <c r="B431" s="690"/>
      <c r="C431" s="690"/>
      <c r="D431" s="690"/>
      <c r="E431" s="690"/>
      <c r="F431" s="690"/>
      <c r="G431" s="690"/>
      <c r="H431" s="690"/>
      <c r="I431" s="690"/>
      <c r="J431" s="690"/>
      <c r="K431" s="690"/>
      <c r="L431" s="690"/>
      <c r="M431" s="690"/>
      <c r="N431" s="690"/>
      <c r="O431" s="690"/>
      <c r="P431" s="690"/>
      <c r="Q431" s="690"/>
      <c r="R431" s="690"/>
      <c r="S431" s="690"/>
      <c r="T431" s="690"/>
      <c r="U431" s="690"/>
      <c r="V431" s="690"/>
      <c r="W431" s="690"/>
      <c r="X431" s="690"/>
      <c r="Y431" s="690"/>
      <c r="Z431" s="690"/>
      <c r="AA431" s="690"/>
      <c r="AB431" s="690"/>
      <c r="AC431" s="690"/>
      <c r="AD431" s="690"/>
      <c r="AE431" s="690"/>
    </row>
    <row r="432" spans="1:31" ht="15.75" customHeight="1">
      <c r="A432" s="690"/>
      <c r="B432" s="690"/>
      <c r="C432" s="690"/>
      <c r="D432" s="690"/>
      <c r="E432" s="690"/>
      <c r="F432" s="690"/>
      <c r="G432" s="690"/>
      <c r="H432" s="690"/>
      <c r="I432" s="690"/>
      <c r="J432" s="690"/>
      <c r="K432" s="690"/>
      <c r="L432" s="690"/>
      <c r="M432" s="690"/>
      <c r="N432" s="690"/>
      <c r="O432" s="690"/>
      <c r="P432" s="690"/>
      <c r="Q432" s="690"/>
      <c r="R432" s="690"/>
      <c r="S432" s="690"/>
      <c r="T432" s="690"/>
      <c r="U432" s="690"/>
      <c r="V432" s="690"/>
      <c r="W432" s="690"/>
      <c r="X432" s="690"/>
      <c r="Y432" s="690"/>
      <c r="Z432" s="690"/>
      <c r="AA432" s="690"/>
      <c r="AB432" s="690"/>
      <c r="AC432" s="690"/>
      <c r="AD432" s="690"/>
      <c r="AE432" s="690"/>
    </row>
    <row r="433" spans="1:31" ht="15.75" customHeight="1">
      <c r="A433" s="690"/>
      <c r="B433" s="690"/>
      <c r="C433" s="690"/>
      <c r="D433" s="690"/>
      <c r="E433" s="690"/>
      <c r="F433" s="690"/>
      <c r="G433" s="690"/>
      <c r="H433" s="690"/>
      <c r="I433" s="690"/>
      <c r="J433" s="690"/>
      <c r="K433" s="690"/>
      <c r="L433" s="690"/>
      <c r="M433" s="690"/>
      <c r="N433" s="690"/>
      <c r="O433" s="690"/>
      <c r="P433" s="690"/>
      <c r="Q433" s="690"/>
      <c r="R433" s="690"/>
      <c r="S433" s="690"/>
      <c r="T433" s="690"/>
      <c r="U433" s="690"/>
      <c r="V433" s="690"/>
      <c r="W433" s="690"/>
      <c r="X433" s="690"/>
      <c r="Y433" s="690"/>
      <c r="Z433" s="690"/>
      <c r="AA433" s="690"/>
      <c r="AB433" s="690"/>
      <c r="AC433" s="690"/>
      <c r="AD433" s="690"/>
      <c r="AE433" s="690"/>
    </row>
    <row r="434" spans="1:31" ht="15.75" customHeight="1">
      <c r="A434" s="690"/>
      <c r="B434" s="690"/>
      <c r="C434" s="690"/>
      <c r="D434" s="690"/>
      <c r="E434" s="690"/>
      <c r="F434" s="690"/>
      <c r="G434" s="690"/>
      <c r="H434" s="690"/>
      <c r="I434" s="690"/>
      <c r="J434" s="690"/>
      <c r="K434" s="690"/>
      <c r="L434" s="690"/>
      <c r="M434" s="690"/>
      <c r="N434" s="690"/>
      <c r="O434" s="690"/>
      <c r="P434" s="690"/>
      <c r="Q434" s="690"/>
      <c r="R434" s="690"/>
      <c r="S434" s="690"/>
      <c r="T434" s="690"/>
      <c r="U434" s="690"/>
      <c r="V434" s="690"/>
      <c r="W434" s="690"/>
      <c r="X434" s="690"/>
      <c r="Y434" s="690"/>
      <c r="Z434" s="690"/>
      <c r="AA434" s="690"/>
      <c r="AB434" s="690"/>
      <c r="AC434" s="690"/>
      <c r="AD434" s="690"/>
      <c r="AE434" s="690"/>
    </row>
    <row r="435" spans="1:31" ht="15.75" customHeight="1">
      <c r="A435" s="690"/>
      <c r="B435" s="690"/>
      <c r="C435" s="690"/>
      <c r="D435" s="690"/>
      <c r="E435" s="690"/>
      <c r="F435" s="690"/>
      <c r="G435" s="690"/>
      <c r="H435" s="690"/>
      <c r="I435" s="690"/>
      <c r="J435" s="690"/>
      <c r="K435" s="690"/>
      <c r="L435" s="690"/>
      <c r="M435" s="690"/>
      <c r="N435" s="690"/>
      <c r="O435" s="690"/>
      <c r="P435" s="690"/>
      <c r="Q435" s="690"/>
      <c r="R435" s="690"/>
      <c r="S435" s="690"/>
      <c r="T435" s="690"/>
      <c r="U435" s="690"/>
      <c r="V435" s="690"/>
      <c r="W435" s="690"/>
      <c r="X435" s="690"/>
      <c r="Y435" s="690"/>
      <c r="Z435" s="690"/>
      <c r="AA435" s="690"/>
      <c r="AB435" s="690"/>
      <c r="AC435" s="690"/>
      <c r="AD435" s="690"/>
      <c r="AE435" s="690"/>
    </row>
    <row r="436" spans="1:31" ht="15.75" customHeight="1">
      <c r="A436" s="690"/>
      <c r="B436" s="690"/>
      <c r="C436" s="690"/>
      <c r="D436" s="690"/>
      <c r="E436" s="690"/>
      <c r="F436" s="690"/>
      <c r="G436" s="690"/>
      <c r="H436" s="690"/>
      <c r="I436" s="690"/>
      <c r="J436" s="690"/>
      <c r="K436" s="690"/>
      <c r="L436" s="690"/>
      <c r="M436" s="690"/>
      <c r="N436" s="690"/>
      <c r="O436" s="690"/>
      <c r="P436" s="690"/>
      <c r="Q436" s="690"/>
      <c r="R436" s="690"/>
      <c r="S436" s="690"/>
      <c r="T436" s="690"/>
      <c r="U436" s="690"/>
      <c r="V436" s="690"/>
      <c r="W436" s="690"/>
      <c r="X436" s="690"/>
      <c r="Y436" s="690"/>
      <c r="Z436" s="690"/>
      <c r="AA436" s="690"/>
      <c r="AB436" s="690"/>
      <c r="AC436" s="690"/>
      <c r="AD436" s="690"/>
      <c r="AE436" s="690"/>
    </row>
    <row r="437" spans="1:31" ht="15.75" customHeight="1">
      <c r="A437" s="690"/>
      <c r="B437" s="690"/>
      <c r="C437" s="690"/>
      <c r="D437" s="690"/>
      <c r="E437" s="690"/>
      <c r="F437" s="690"/>
      <c r="G437" s="690"/>
      <c r="H437" s="690"/>
      <c r="I437" s="690"/>
      <c r="J437" s="690"/>
      <c r="K437" s="690"/>
      <c r="L437" s="690"/>
      <c r="M437" s="690"/>
      <c r="N437" s="690"/>
      <c r="O437" s="690"/>
      <c r="P437" s="690"/>
      <c r="Q437" s="690"/>
      <c r="R437" s="690"/>
      <c r="S437" s="690"/>
      <c r="T437" s="690"/>
      <c r="U437" s="690"/>
      <c r="V437" s="690"/>
      <c r="W437" s="690"/>
      <c r="X437" s="690"/>
      <c r="Y437" s="690"/>
      <c r="Z437" s="690"/>
      <c r="AA437" s="690"/>
      <c r="AB437" s="690"/>
      <c r="AC437" s="690"/>
      <c r="AD437" s="690"/>
      <c r="AE437" s="690"/>
    </row>
    <row r="438" spans="1:31" ht="15.75" customHeight="1">
      <c r="A438" s="690"/>
      <c r="B438" s="690"/>
      <c r="C438" s="690"/>
      <c r="D438" s="690"/>
      <c r="E438" s="690"/>
      <c r="F438" s="690"/>
      <c r="G438" s="690"/>
      <c r="H438" s="690"/>
      <c r="I438" s="690"/>
      <c r="J438" s="690"/>
      <c r="K438" s="690"/>
      <c r="L438" s="690"/>
      <c r="M438" s="690"/>
      <c r="N438" s="690"/>
      <c r="O438" s="690"/>
      <c r="P438" s="690"/>
      <c r="Q438" s="690"/>
      <c r="R438" s="690"/>
      <c r="S438" s="690"/>
      <c r="T438" s="690"/>
      <c r="U438" s="690"/>
      <c r="V438" s="690"/>
      <c r="W438" s="690"/>
      <c r="X438" s="690"/>
      <c r="Y438" s="690"/>
      <c r="Z438" s="690"/>
      <c r="AA438" s="690"/>
      <c r="AB438" s="690"/>
      <c r="AC438" s="690"/>
      <c r="AD438" s="690"/>
      <c r="AE438" s="690"/>
    </row>
    <row r="439" spans="1:31" ht="15.75" customHeight="1">
      <c r="A439" s="690"/>
      <c r="B439" s="690"/>
      <c r="C439" s="690"/>
      <c r="D439" s="690"/>
      <c r="E439" s="690"/>
      <c r="F439" s="690"/>
      <c r="G439" s="690"/>
      <c r="H439" s="690"/>
      <c r="I439" s="690"/>
      <c r="J439" s="690"/>
      <c r="K439" s="690"/>
      <c r="L439" s="690"/>
      <c r="M439" s="690"/>
      <c r="N439" s="690"/>
      <c r="O439" s="690"/>
      <c r="P439" s="690"/>
      <c r="Q439" s="690"/>
      <c r="R439" s="690"/>
      <c r="S439" s="690"/>
      <c r="T439" s="690"/>
      <c r="U439" s="690"/>
      <c r="V439" s="690"/>
      <c r="W439" s="690"/>
      <c r="X439" s="690"/>
      <c r="Y439" s="690"/>
      <c r="Z439" s="690"/>
      <c r="AA439" s="690"/>
      <c r="AB439" s="690"/>
      <c r="AC439" s="690"/>
      <c r="AD439" s="690"/>
      <c r="AE439" s="690"/>
    </row>
    <row r="440" spans="1:31" ht="15.75" customHeight="1">
      <c r="A440" s="690"/>
      <c r="B440" s="690"/>
      <c r="C440" s="690"/>
      <c r="D440" s="690"/>
      <c r="E440" s="690"/>
      <c r="F440" s="690"/>
      <c r="G440" s="690"/>
      <c r="H440" s="690"/>
      <c r="I440" s="690"/>
      <c r="J440" s="690"/>
      <c r="K440" s="690"/>
      <c r="L440" s="690"/>
      <c r="M440" s="690"/>
      <c r="N440" s="690"/>
      <c r="O440" s="690"/>
      <c r="P440" s="690"/>
      <c r="Q440" s="690"/>
      <c r="R440" s="690"/>
      <c r="S440" s="690"/>
      <c r="T440" s="690"/>
      <c r="U440" s="690"/>
      <c r="V440" s="690"/>
      <c r="W440" s="690"/>
      <c r="X440" s="690"/>
      <c r="Y440" s="690"/>
      <c r="Z440" s="690"/>
      <c r="AA440" s="690"/>
      <c r="AB440" s="690"/>
      <c r="AC440" s="690"/>
      <c r="AD440" s="690"/>
      <c r="AE440" s="690"/>
    </row>
    <row r="441" spans="1:31" ht="15.75" customHeight="1">
      <c r="A441" s="690"/>
      <c r="B441" s="690"/>
      <c r="C441" s="690"/>
      <c r="D441" s="690"/>
      <c r="E441" s="690"/>
      <c r="F441" s="690"/>
      <c r="G441" s="690"/>
      <c r="H441" s="690"/>
      <c r="I441" s="690"/>
      <c r="J441" s="690"/>
      <c r="K441" s="690"/>
      <c r="L441" s="690"/>
      <c r="M441" s="690"/>
      <c r="N441" s="690"/>
      <c r="O441" s="690"/>
      <c r="P441" s="690"/>
      <c r="Q441" s="690"/>
      <c r="R441" s="690"/>
      <c r="S441" s="690"/>
      <c r="T441" s="690"/>
      <c r="U441" s="690"/>
      <c r="V441" s="690"/>
      <c r="W441" s="690"/>
      <c r="X441" s="690"/>
      <c r="Y441" s="690"/>
      <c r="Z441" s="690"/>
      <c r="AA441" s="690"/>
      <c r="AB441" s="690"/>
      <c r="AC441" s="690"/>
      <c r="AD441" s="690"/>
      <c r="AE441" s="690"/>
    </row>
    <row r="442" spans="1:31" ht="15.75" customHeight="1">
      <c r="A442" s="690"/>
      <c r="B442" s="690"/>
      <c r="C442" s="690"/>
      <c r="D442" s="690"/>
      <c r="E442" s="690"/>
      <c r="F442" s="690"/>
      <c r="G442" s="690"/>
      <c r="H442" s="690"/>
      <c r="I442" s="690"/>
      <c r="J442" s="690"/>
      <c r="K442" s="690"/>
      <c r="L442" s="690"/>
      <c r="M442" s="690"/>
      <c r="N442" s="690"/>
      <c r="O442" s="690"/>
      <c r="P442" s="690"/>
      <c r="Q442" s="690"/>
      <c r="R442" s="690"/>
      <c r="S442" s="690"/>
      <c r="T442" s="690"/>
      <c r="U442" s="690"/>
      <c r="V442" s="690"/>
      <c r="W442" s="690"/>
      <c r="X442" s="690"/>
      <c r="Y442" s="690"/>
      <c r="Z442" s="690"/>
      <c r="AA442" s="690"/>
      <c r="AB442" s="690"/>
      <c r="AC442" s="690"/>
      <c r="AD442" s="690"/>
      <c r="AE442" s="690"/>
    </row>
    <row r="443" spans="1:31" ht="15.75" customHeight="1">
      <c r="A443" s="690"/>
      <c r="B443" s="690"/>
      <c r="C443" s="690"/>
      <c r="D443" s="690"/>
      <c r="E443" s="690"/>
      <c r="F443" s="690"/>
      <c r="G443" s="690"/>
      <c r="H443" s="690"/>
      <c r="I443" s="690"/>
      <c r="J443" s="690"/>
      <c r="K443" s="690"/>
      <c r="L443" s="690"/>
      <c r="M443" s="690"/>
      <c r="N443" s="690"/>
      <c r="O443" s="690"/>
      <c r="P443" s="690"/>
      <c r="Q443" s="690"/>
      <c r="R443" s="690"/>
      <c r="S443" s="690"/>
      <c r="T443" s="690"/>
      <c r="U443" s="690"/>
      <c r="V443" s="690"/>
      <c r="W443" s="690"/>
      <c r="X443" s="690"/>
      <c r="Y443" s="690"/>
      <c r="Z443" s="690"/>
      <c r="AA443" s="690"/>
      <c r="AB443" s="690"/>
      <c r="AC443" s="690"/>
      <c r="AD443" s="690"/>
      <c r="AE443" s="690"/>
    </row>
    <row r="444" spans="1:31" ht="15.75" customHeight="1">
      <c r="A444" s="690"/>
      <c r="B444" s="690"/>
      <c r="C444" s="690"/>
      <c r="D444" s="690"/>
      <c r="E444" s="690"/>
      <c r="F444" s="690"/>
      <c r="G444" s="690"/>
      <c r="H444" s="690"/>
      <c r="I444" s="690"/>
      <c r="J444" s="690"/>
      <c r="K444" s="690"/>
      <c r="L444" s="690"/>
      <c r="M444" s="690"/>
      <c r="N444" s="690"/>
      <c r="O444" s="690"/>
      <c r="P444" s="690"/>
      <c r="Q444" s="690"/>
      <c r="R444" s="690"/>
      <c r="S444" s="690"/>
      <c r="T444" s="690"/>
      <c r="U444" s="690"/>
      <c r="V444" s="690"/>
      <c r="W444" s="690"/>
      <c r="X444" s="690"/>
      <c r="Y444" s="690"/>
      <c r="Z444" s="690"/>
      <c r="AA444" s="690"/>
      <c r="AB444" s="690"/>
      <c r="AC444" s="690"/>
      <c r="AD444" s="690"/>
      <c r="AE444" s="690"/>
    </row>
    <row r="445" spans="1:31" ht="15.75" customHeight="1">
      <c r="A445" s="690"/>
      <c r="B445" s="690"/>
      <c r="C445" s="690"/>
      <c r="D445" s="690"/>
      <c r="E445" s="690"/>
      <c r="F445" s="690"/>
      <c r="G445" s="690"/>
      <c r="H445" s="690"/>
      <c r="I445" s="690"/>
      <c r="J445" s="690"/>
      <c r="K445" s="690"/>
      <c r="L445" s="690"/>
      <c r="M445" s="690"/>
      <c r="N445" s="690"/>
      <c r="O445" s="690"/>
      <c r="P445" s="690"/>
      <c r="Q445" s="690"/>
      <c r="R445" s="690"/>
      <c r="S445" s="690"/>
      <c r="T445" s="690"/>
      <c r="U445" s="690"/>
      <c r="V445" s="690"/>
      <c r="W445" s="690"/>
      <c r="X445" s="690"/>
      <c r="Y445" s="690"/>
      <c r="Z445" s="690"/>
      <c r="AA445" s="690"/>
      <c r="AB445" s="690"/>
      <c r="AC445" s="690"/>
      <c r="AD445" s="690"/>
      <c r="AE445" s="690"/>
    </row>
    <row r="446" spans="1:31" ht="15.75" customHeight="1">
      <c r="A446" s="690"/>
      <c r="B446" s="690"/>
      <c r="C446" s="690"/>
      <c r="D446" s="690"/>
      <c r="E446" s="690"/>
      <c r="F446" s="690"/>
      <c r="G446" s="690"/>
      <c r="H446" s="690"/>
      <c r="I446" s="690"/>
      <c r="J446" s="690"/>
      <c r="K446" s="690"/>
      <c r="L446" s="690"/>
      <c r="M446" s="690"/>
      <c r="N446" s="690"/>
      <c r="O446" s="690"/>
      <c r="P446" s="690"/>
      <c r="Q446" s="690"/>
      <c r="R446" s="690"/>
      <c r="S446" s="690"/>
      <c r="T446" s="690"/>
      <c r="U446" s="690"/>
      <c r="V446" s="690"/>
      <c r="W446" s="690"/>
      <c r="X446" s="690"/>
      <c r="Y446" s="690"/>
      <c r="Z446" s="690"/>
      <c r="AA446" s="690"/>
      <c r="AB446" s="690"/>
      <c r="AC446" s="690"/>
      <c r="AD446" s="690"/>
      <c r="AE446" s="690"/>
    </row>
    <row r="447" spans="1:31" ht="15.75" customHeight="1">
      <c r="A447" s="690"/>
      <c r="B447" s="690"/>
      <c r="C447" s="690"/>
      <c r="D447" s="690"/>
      <c r="E447" s="690"/>
      <c r="F447" s="690"/>
      <c r="G447" s="690"/>
      <c r="H447" s="690"/>
      <c r="I447" s="690"/>
      <c r="J447" s="690"/>
      <c r="K447" s="690"/>
      <c r="L447" s="690"/>
      <c r="M447" s="690"/>
      <c r="N447" s="690"/>
      <c r="O447" s="690"/>
      <c r="P447" s="690"/>
      <c r="Q447" s="690"/>
      <c r="R447" s="690"/>
      <c r="S447" s="690"/>
      <c r="T447" s="690"/>
      <c r="U447" s="690"/>
      <c r="V447" s="690"/>
      <c r="W447" s="690"/>
      <c r="X447" s="690"/>
      <c r="Y447" s="690"/>
      <c r="Z447" s="690"/>
      <c r="AA447" s="690"/>
      <c r="AB447" s="690"/>
      <c r="AC447" s="690"/>
      <c r="AD447" s="690"/>
      <c r="AE447" s="690"/>
    </row>
    <row r="448" spans="1:31" ht="15.75" customHeight="1">
      <c r="A448" s="690"/>
      <c r="B448" s="690"/>
      <c r="C448" s="690"/>
      <c r="D448" s="690"/>
      <c r="E448" s="690"/>
      <c r="F448" s="690"/>
      <c r="G448" s="690"/>
      <c r="H448" s="690"/>
      <c r="I448" s="690"/>
      <c r="J448" s="690"/>
      <c r="K448" s="690"/>
      <c r="L448" s="690"/>
      <c r="M448" s="690"/>
      <c r="N448" s="690"/>
      <c r="O448" s="690"/>
      <c r="P448" s="690"/>
      <c r="Q448" s="690"/>
      <c r="R448" s="690"/>
      <c r="S448" s="690"/>
      <c r="T448" s="690"/>
      <c r="U448" s="690"/>
      <c r="V448" s="690"/>
      <c r="W448" s="690"/>
      <c r="X448" s="690"/>
      <c r="Y448" s="690"/>
      <c r="Z448" s="690"/>
      <c r="AA448" s="690"/>
      <c r="AB448" s="690"/>
      <c r="AC448" s="690"/>
      <c r="AD448" s="690"/>
      <c r="AE448" s="690"/>
    </row>
    <row r="449" spans="1:31" ht="15.75" customHeight="1">
      <c r="A449" s="690"/>
      <c r="B449" s="690"/>
      <c r="C449" s="690"/>
      <c r="D449" s="690"/>
      <c r="E449" s="690"/>
      <c r="F449" s="690"/>
      <c r="G449" s="690"/>
      <c r="H449" s="690"/>
      <c r="I449" s="690"/>
      <c r="J449" s="690"/>
      <c r="K449" s="690"/>
      <c r="L449" s="690"/>
      <c r="M449" s="690"/>
      <c r="N449" s="690"/>
      <c r="O449" s="690"/>
      <c r="P449" s="690"/>
      <c r="Q449" s="690"/>
      <c r="R449" s="690"/>
      <c r="S449" s="690"/>
      <c r="T449" s="690"/>
      <c r="U449" s="690"/>
      <c r="V449" s="690"/>
      <c r="W449" s="690"/>
      <c r="X449" s="690"/>
      <c r="Y449" s="690"/>
      <c r="Z449" s="690"/>
      <c r="AA449" s="690"/>
      <c r="AB449" s="690"/>
      <c r="AC449" s="690"/>
      <c r="AD449" s="690"/>
      <c r="AE449" s="690"/>
    </row>
    <row r="450" spans="1:31" ht="15.75" customHeight="1">
      <c r="A450" s="690"/>
      <c r="B450" s="690"/>
      <c r="C450" s="690"/>
      <c r="D450" s="690"/>
      <c r="E450" s="690"/>
      <c r="F450" s="690"/>
      <c r="G450" s="690"/>
      <c r="H450" s="690"/>
      <c r="I450" s="690"/>
      <c r="J450" s="690"/>
      <c r="K450" s="690"/>
      <c r="L450" s="690"/>
      <c r="M450" s="690"/>
      <c r="N450" s="690"/>
      <c r="O450" s="690"/>
      <c r="P450" s="690"/>
      <c r="Q450" s="690"/>
      <c r="R450" s="690"/>
      <c r="S450" s="690"/>
      <c r="T450" s="690"/>
      <c r="U450" s="690"/>
      <c r="V450" s="690"/>
      <c r="W450" s="690"/>
      <c r="X450" s="690"/>
      <c r="Y450" s="690"/>
      <c r="Z450" s="690"/>
      <c r="AA450" s="690"/>
      <c r="AB450" s="690"/>
      <c r="AC450" s="690"/>
      <c r="AD450" s="690"/>
      <c r="AE450" s="690"/>
    </row>
    <row r="451" spans="1:31" ht="15.75" customHeight="1">
      <c r="A451" s="690"/>
      <c r="B451" s="690"/>
      <c r="C451" s="690"/>
      <c r="D451" s="690"/>
      <c r="E451" s="690"/>
      <c r="F451" s="690"/>
      <c r="G451" s="690"/>
      <c r="H451" s="690"/>
      <c r="I451" s="690"/>
      <c r="J451" s="690"/>
      <c r="K451" s="690"/>
      <c r="L451" s="690"/>
      <c r="M451" s="690"/>
      <c r="N451" s="690"/>
      <c r="O451" s="690"/>
      <c r="P451" s="690"/>
      <c r="Q451" s="690"/>
      <c r="R451" s="690"/>
      <c r="S451" s="690"/>
      <c r="T451" s="690"/>
      <c r="U451" s="690"/>
      <c r="V451" s="690"/>
      <c r="W451" s="690"/>
      <c r="X451" s="690"/>
      <c r="Y451" s="690"/>
      <c r="Z451" s="690"/>
      <c r="AA451" s="690"/>
      <c r="AB451" s="690"/>
      <c r="AC451" s="690"/>
      <c r="AD451" s="690"/>
      <c r="AE451" s="690"/>
    </row>
    <row r="452" spans="1:31" ht="15.75" customHeight="1">
      <c r="A452" s="690"/>
      <c r="B452" s="690"/>
      <c r="C452" s="690"/>
      <c r="D452" s="690"/>
      <c r="E452" s="690"/>
      <c r="F452" s="690"/>
      <c r="G452" s="690"/>
      <c r="H452" s="690"/>
      <c r="I452" s="690"/>
      <c r="J452" s="690"/>
      <c r="K452" s="690"/>
      <c r="L452" s="690"/>
      <c r="M452" s="690"/>
      <c r="N452" s="690"/>
      <c r="O452" s="690"/>
      <c r="P452" s="690"/>
      <c r="Q452" s="690"/>
      <c r="R452" s="690"/>
      <c r="S452" s="690"/>
      <c r="T452" s="690"/>
      <c r="U452" s="690"/>
      <c r="V452" s="690"/>
      <c r="W452" s="690"/>
      <c r="X452" s="690"/>
      <c r="Y452" s="690"/>
      <c r="Z452" s="690"/>
      <c r="AA452" s="690"/>
      <c r="AB452" s="690"/>
      <c r="AC452" s="690"/>
      <c r="AD452" s="690"/>
      <c r="AE452" s="690"/>
    </row>
    <row r="453" spans="1:31" ht="15.75" customHeight="1">
      <c r="A453" s="690"/>
      <c r="B453" s="690"/>
      <c r="C453" s="690"/>
      <c r="D453" s="690"/>
      <c r="E453" s="690"/>
      <c r="F453" s="690"/>
      <c r="G453" s="690"/>
      <c r="H453" s="690"/>
      <c r="I453" s="690"/>
      <c r="J453" s="690"/>
      <c r="K453" s="690"/>
      <c r="L453" s="690"/>
      <c r="M453" s="690"/>
      <c r="N453" s="690"/>
      <c r="O453" s="690"/>
      <c r="P453" s="690"/>
      <c r="Q453" s="690"/>
      <c r="R453" s="690"/>
      <c r="S453" s="690"/>
      <c r="T453" s="690"/>
      <c r="U453" s="690"/>
      <c r="V453" s="690"/>
      <c r="W453" s="690"/>
      <c r="X453" s="690"/>
      <c r="Y453" s="690"/>
      <c r="Z453" s="690"/>
      <c r="AA453" s="690"/>
      <c r="AB453" s="690"/>
      <c r="AC453" s="690"/>
      <c r="AD453" s="690"/>
      <c r="AE453" s="690"/>
    </row>
    <row r="454" spans="1:31" ht="15.75" customHeight="1">
      <c r="A454" s="690"/>
      <c r="B454" s="690"/>
      <c r="C454" s="690"/>
      <c r="D454" s="690"/>
      <c r="E454" s="690"/>
      <c r="F454" s="690"/>
      <c r="G454" s="690"/>
      <c r="H454" s="690"/>
      <c r="I454" s="690"/>
      <c r="J454" s="690"/>
      <c r="K454" s="690"/>
      <c r="L454" s="690"/>
      <c r="M454" s="690"/>
      <c r="N454" s="690"/>
      <c r="O454" s="690"/>
      <c r="P454" s="690"/>
      <c r="Q454" s="690"/>
      <c r="R454" s="690"/>
      <c r="S454" s="690"/>
      <c r="T454" s="690"/>
      <c r="U454" s="690"/>
      <c r="V454" s="690"/>
      <c r="W454" s="690"/>
      <c r="X454" s="690"/>
      <c r="Y454" s="690"/>
      <c r="Z454" s="690"/>
      <c r="AA454" s="690"/>
      <c r="AB454" s="690"/>
      <c r="AC454" s="690"/>
      <c r="AD454" s="690"/>
      <c r="AE454" s="690"/>
    </row>
    <row r="455" spans="1:31" ht="15.75" customHeight="1">
      <c r="A455" s="690"/>
      <c r="B455" s="690"/>
      <c r="C455" s="690"/>
      <c r="D455" s="690"/>
      <c r="E455" s="690"/>
      <c r="F455" s="690"/>
      <c r="G455" s="690"/>
      <c r="H455" s="690"/>
      <c r="I455" s="690"/>
      <c r="J455" s="690"/>
      <c r="K455" s="690"/>
      <c r="L455" s="690"/>
      <c r="M455" s="690"/>
      <c r="N455" s="690"/>
      <c r="O455" s="690"/>
      <c r="P455" s="690"/>
      <c r="Q455" s="690"/>
      <c r="R455" s="690"/>
      <c r="S455" s="690"/>
      <c r="T455" s="690"/>
      <c r="U455" s="690"/>
      <c r="V455" s="690"/>
      <c r="W455" s="690"/>
      <c r="X455" s="690"/>
      <c r="Y455" s="690"/>
      <c r="Z455" s="690"/>
      <c r="AA455" s="690"/>
      <c r="AB455" s="690"/>
      <c r="AC455" s="690"/>
      <c r="AD455" s="690"/>
      <c r="AE455" s="690"/>
    </row>
    <row r="456" spans="1:31" ht="15.75" customHeight="1">
      <c r="A456" s="690"/>
      <c r="B456" s="690"/>
      <c r="C456" s="690"/>
      <c r="D456" s="690"/>
      <c r="E456" s="690"/>
      <c r="F456" s="690"/>
      <c r="G456" s="690"/>
      <c r="H456" s="690"/>
      <c r="I456" s="690"/>
      <c r="J456" s="690"/>
      <c r="K456" s="690"/>
      <c r="L456" s="690"/>
      <c r="M456" s="690"/>
      <c r="N456" s="690"/>
      <c r="O456" s="690"/>
      <c r="P456" s="690"/>
      <c r="Q456" s="690"/>
      <c r="R456" s="690"/>
      <c r="S456" s="690"/>
      <c r="T456" s="690"/>
      <c r="U456" s="690"/>
      <c r="V456" s="690"/>
      <c r="W456" s="690"/>
      <c r="X456" s="690"/>
      <c r="Y456" s="690"/>
      <c r="Z456" s="690"/>
      <c r="AA456" s="690"/>
      <c r="AB456" s="690"/>
      <c r="AC456" s="690"/>
      <c r="AD456" s="690"/>
      <c r="AE456" s="690"/>
    </row>
    <row r="457" spans="1:31" ht="15.75" customHeight="1">
      <c r="A457" s="690"/>
      <c r="B457" s="690"/>
      <c r="C457" s="690"/>
      <c r="D457" s="690"/>
      <c r="E457" s="690"/>
      <c r="F457" s="690"/>
      <c r="G457" s="690"/>
      <c r="H457" s="690"/>
      <c r="I457" s="690"/>
      <c r="J457" s="690"/>
      <c r="K457" s="690"/>
      <c r="L457" s="690"/>
      <c r="M457" s="690"/>
      <c r="N457" s="690"/>
      <c r="O457" s="690"/>
      <c r="P457" s="690"/>
      <c r="Q457" s="690"/>
      <c r="R457" s="690"/>
      <c r="S457" s="690"/>
      <c r="T457" s="690"/>
      <c r="U457" s="690"/>
      <c r="V457" s="690"/>
      <c r="W457" s="690"/>
      <c r="X457" s="690"/>
      <c r="Y457" s="690"/>
      <c r="Z457" s="690"/>
      <c r="AA457" s="690"/>
      <c r="AB457" s="690"/>
      <c r="AC457" s="690"/>
      <c r="AD457" s="690"/>
      <c r="AE457" s="690"/>
    </row>
    <row r="458" spans="1:31" ht="15.75" customHeight="1">
      <c r="A458" s="690"/>
      <c r="B458" s="690"/>
      <c r="C458" s="690"/>
      <c r="D458" s="690"/>
      <c r="E458" s="690"/>
      <c r="F458" s="690"/>
      <c r="G458" s="690"/>
      <c r="H458" s="690"/>
      <c r="I458" s="690"/>
      <c r="J458" s="690"/>
      <c r="K458" s="690"/>
      <c r="L458" s="690"/>
      <c r="M458" s="690"/>
      <c r="N458" s="690"/>
      <c r="O458" s="690"/>
      <c r="P458" s="690"/>
      <c r="Q458" s="690"/>
      <c r="R458" s="690"/>
      <c r="S458" s="690"/>
      <c r="T458" s="690"/>
      <c r="U458" s="690"/>
      <c r="V458" s="690"/>
      <c r="W458" s="690"/>
      <c r="X458" s="690"/>
      <c r="Y458" s="690"/>
      <c r="Z458" s="690"/>
      <c r="AA458" s="690"/>
      <c r="AB458" s="690"/>
      <c r="AC458" s="690"/>
      <c r="AD458" s="690"/>
      <c r="AE458" s="690"/>
    </row>
    <row r="459" spans="1:31" ht="15.75" customHeight="1">
      <c r="A459" s="690"/>
      <c r="B459" s="690"/>
      <c r="C459" s="690"/>
      <c r="D459" s="690"/>
      <c r="E459" s="690"/>
      <c r="F459" s="690"/>
      <c r="G459" s="690"/>
      <c r="H459" s="690"/>
      <c r="I459" s="690"/>
      <c r="J459" s="690"/>
      <c r="K459" s="690"/>
      <c r="L459" s="690"/>
      <c r="M459" s="690"/>
      <c r="N459" s="690"/>
      <c r="O459" s="690"/>
      <c r="P459" s="690"/>
      <c r="Q459" s="690"/>
      <c r="R459" s="690"/>
      <c r="S459" s="690"/>
      <c r="T459" s="690"/>
      <c r="U459" s="690"/>
      <c r="V459" s="690"/>
      <c r="W459" s="690"/>
      <c r="X459" s="690"/>
      <c r="Y459" s="690"/>
      <c r="Z459" s="690"/>
      <c r="AA459" s="690"/>
      <c r="AB459" s="690"/>
      <c r="AC459" s="690"/>
      <c r="AD459" s="690"/>
      <c r="AE459" s="690"/>
    </row>
    <row r="460" spans="1:31" ht="15.75" customHeight="1">
      <c r="A460" s="690"/>
      <c r="B460" s="690"/>
      <c r="C460" s="690"/>
      <c r="D460" s="690"/>
      <c r="E460" s="690"/>
      <c r="F460" s="690"/>
      <c r="G460" s="690"/>
      <c r="H460" s="690"/>
      <c r="I460" s="690"/>
      <c r="J460" s="690"/>
      <c r="K460" s="690"/>
      <c r="L460" s="690"/>
      <c r="M460" s="690"/>
      <c r="N460" s="690"/>
      <c r="O460" s="690"/>
      <c r="P460" s="690"/>
      <c r="Q460" s="690"/>
      <c r="R460" s="690"/>
      <c r="S460" s="690"/>
      <c r="T460" s="690"/>
      <c r="U460" s="690"/>
      <c r="V460" s="690"/>
      <c r="W460" s="690"/>
      <c r="X460" s="690"/>
      <c r="Y460" s="690"/>
      <c r="Z460" s="690"/>
      <c r="AA460" s="690"/>
      <c r="AB460" s="690"/>
      <c r="AC460" s="690"/>
      <c r="AD460" s="690"/>
      <c r="AE460" s="690"/>
    </row>
    <row r="461" spans="1:31" ht="15.75" customHeight="1">
      <c r="A461" s="690"/>
      <c r="B461" s="690"/>
      <c r="C461" s="690"/>
      <c r="D461" s="690"/>
      <c r="E461" s="690"/>
      <c r="F461" s="690"/>
      <c r="G461" s="690"/>
      <c r="H461" s="690"/>
      <c r="I461" s="690"/>
      <c r="J461" s="690"/>
      <c r="K461" s="690"/>
      <c r="L461" s="690"/>
      <c r="M461" s="690"/>
      <c r="N461" s="690"/>
      <c r="O461" s="690"/>
      <c r="P461" s="690"/>
      <c r="Q461" s="690"/>
      <c r="R461" s="690"/>
      <c r="S461" s="690"/>
      <c r="T461" s="690"/>
      <c r="U461" s="690"/>
      <c r="V461" s="690"/>
      <c r="W461" s="690"/>
      <c r="X461" s="690"/>
      <c r="Y461" s="690"/>
      <c r="Z461" s="690"/>
      <c r="AA461" s="690"/>
      <c r="AB461" s="690"/>
      <c r="AC461" s="690"/>
      <c r="AD461" s="690"/>
      <c r="AE461" s="690"/>
    </row>
    <row r="462" spans="1:31" ht="15.75" customHeight="1">
      <c r="A462" s="690"/>
      <c r="B462" s="690"/>
      <c r="C462" s="690"/>
      <c r="D462" s="690"/>
      <c r="E462" s="690"/>
      <c r="F462" s="690"/>
      <c r="G462" s="690"/>
      <c r="H462" s="690"/>
      <c r="I462" s="690"/>
      <c r="J462" s="690"/>
      <c r="K462" s="690"/>
      <c r="L462" s="690"/>
      <c r="M462" s="690"/>
      <c r="N462" s="690"/>
      <c r="O462" s="690"/>
      <c r="P462" s="690"/>
      <c r="Q462" s="690"/>
      <c r="R462" s="690"/>
      <c r="S462" s="690"/>
      <c r="T462" s="690"/>
      <c r="U462" s="690"/>
      <c r="V462" s="690"/>
      <c r="W462" s="690"/>
      <c r="X462" s="690"/>
      <c r="Y462" s="690"/>
      <c r="Z462" s="690"/>
      <c r="AA462" s="690"/>
      <c r="AB462" s="690"/>
      <c r="AC462" s="690"/>
      <c r="AD462" s="690"/>
      <c r="AE462" s="690"/>
    </row>
    <row r="463" spans="1:31" ht="15.75" customHeight="1">
      <c r="A463" s="690"/>
      <c r="B463" s="690"/>
      <c r="C463" s="690"/>
      <c r="D463" s="690"/>
      <c r="E463" s="690"/>
      <c r="F463" s="690"/>
      <c r="G463" s="690"/>
      <c r="H463" s="690"/>
      <c r="I463" s="690"/>
      <c r="J463" s="690"/>
      <c r="K463" s="690"/>
      <c r="L463" s="690"/>
      <c r="M463" s="690"/>
      <c r="N463" s="690"/>
      <c r="O463" s="690"/>
      <c r="P463" s="690"/>
      <c r="Q463" s="690"/>
      <c r="R463" s="690"/>
      <c r="S463" s="690"/>
      <c r="T463" s="690"/>
      <c r="U463" s="690"/>
      <c r="V463" s="690"/>
      <c r="W463" s="690"/>
      <c r="X463" s="690"/>
      <c r="Y463" s="690"/>
      <c r="Z463" s="690"/>
      <c r="AA463" s="690"/>
      <c r="AB463" s="690"/>
      <c r="AC463" s="690"/>
      <c r="AD463" s="690"/>
      <c r="AE463" s="690"/>
    </row>
    <row r="464" spans="1:31" ht="15.75" customHeight="1">
      <c r="A464" s="690"/>
      <c r="B464" s="690"/>
      <c r="C464" s="690"/>
      <c r="D464" s="690"/>
      <c r="E464" s="690"/>
      <c r="F464" s="690"/>
      <c r="G464" s="690"/>
      <c r="H464" s="690"/>
      <c r="I464" s="690"/>
      <c r="J464" s="690"/>
      <c r="K464" s="690"/>
      <c r="L464" s="690"/>
      <c r="M464" s="690"/>
      <c r="N464" s="690"/>
      <c r="O464" s="690"/>
      <c r="P464" s="690"/>
      <c r="Q464" s="690"/>
      <c r="R464" s="690"/>
      <c r="S464" s="690"/>
      <c r="T464" s="690"/>
      <c r="U464" s="690"/>
      <c r="V464" s="690"/>
      <c r="W464" s="690"/>
      <c r="X464" s="690"/>
      <c r="Y464" s="690"/>
      <c r="Z464" s="690"/>
      <c r="AA464" s="690"/>
      <c r="AB464" s="690"/>
      <c r="AC464" s="690"/>
      <c r="AD464" s="690"/>
      <c r="AE464" s="690"/>
    </row>
    <row r="465" spans="1:31" ht="15.75" customHeight="1">
      <c r="A465" s="690"/>
      <c r="B465" s="690"/>
      <c r="C465" s="690"/>
      <c r="D465" s="690"/>
      <c r="E465" s="690"/>
      <c r="F465" s="690"/>
      <c r="G465" s="690"/>
      <c r="H465" s="690"/>
      <c r="I465" s="690"/>
      <c r="J465" s="690"/>
      <c r="K465" s="690"/>
      <c r="L465" s="690"/>
      <c r="M465" s="690"/>
      <c r="N465" s="690"/>
      <c r="O465" s="690"/>
      <c r="P465" s="690"/>
      <c r="Q465" s="690"/>
      <c r="R465" s="690"/>
      <c r="S465" s="690"/>
      <c r="T465" s="690"/>
      <c r="U465" s="690"/>
      <c r="V465" s="690"/>
      <c r="W465" s="690"/>
      <c r="X465" s="690"/>
      <c r="Y465" s="690"/>
      <c r="Z465" s="690"/>
      <c r="AA465" s="690"/>
      <c r="AB465" s="690"/>
      <c r="AC465" s="690"/>
      <c r="AD465" s="690"/>
      <c r="AE465" s="690"/>
    </row>
    <row r="466" spans="1:31" ht="15.75" customHeight="1">
      <c r="A466" s="690"/>
      <c r="B466" s="690"/>
      <c r="C466" s="690"/>
      <c r="D466" s="690"/>
      <c r="E466" s="690"/>
      <c r="F466" s="690"/>
      <c r="G466" s="690"/>
      <c r="H466" s="690"/>
      <c r="I466" s="690"/>
      <c r="J466" s="690"/>
      <c r="K466" s="690"/>
      <c r="L466" s="690"/>
      <c r="M466" s="690"/>
      <c r="N466" s="690"/>
      <c r="O466" s="690"/>
      <c r="P466" s="690"/>
      <c r="Q466" s="690"/>
      <c r="R466" s="690"/>
      <c r="S466" s="690"/>
      <c r="T466" s="690"/>
      <c r="U466" s="690"/>
      <c r="V466" s="690"/>
      <c r="W466" s="690"/>
      <c r="X466" s="690"/>
      <c r="Y466" s="690"/>
      <c r="Z466" s="690"/>
      <c r="AA466" s="690"/>
      <c r="AB466" s="690"/>
      <c r="AC466" s="690"/>
      <c r="AD466" s="690"/>
      <c r="AE466" s="690"/>
    </row>
    <row r="467" spans="1:31" ht="15.75" customHeight="1">
      <c r="A467" s="690"/>
      <c r="B467" s="690"/>
      <c r="C467" s="690"/>
      <c r="D467" s="690"/>
      <c r="E467" s="690"/>
      <c r="F467" s="690"/>
      <c r="G467" s="690"/>
      <c r="H467" s="690"/>
      <c r="I467" s="690"/>
      <c r="J467" s="690"/>
      <c r="K467" s="690"/>
      <c r="L467" s="690"/>
      <c r="M467" s="690"/>
      <c r="N467" s="690"/>
      <c r="O467" s="690"/>
      <c r="P467" s="690"/>
      <c r="Q467" s="690"/>
      <c r="R467" s="690"/>
      <c r="S467" s="690"/>
      <c r="T467" s="690"/>
      <c r="U467" s="690"/>
      <c r="V467" s="690"/>
      <c r="W467" s="690"/>
      <c r="X467" s="690"/>
      <c r="Y467" s="690"/>
      <c r="Z467" s="690"/>
      <c r="AA467" s="690"/>
      <c r="AB467" s="690"/>
      <c r="AC467" s="690"/>
      <c r="AD467" s="690"/>
      <c r="AE467" s="690"/>
    </row>
    <row r="468" spans="1:31" ht="15.75" customHeight="1">
      <c r="A468" s="690"/>
      <c r="B468" s="690"/>
      <c r="C468" s="690"/>
      <c r="D468" s="690"/>
      <c r="E468" s="690"/>
      <c r="F468" s="690"/>
      <c r="G468" s="690"/>
      <c r="H468" s="690"/>
      <c r="I468" s="690"/>
      <c r="J468" s="690"/>
      <c r="K468" s="690"/>
      <c r="L468" s="690"/>
      <c r="M468" s="690"/>
      <c r="N468" s="690"/>
      <c r="O468" s="690"/>
      <c r="P468" s="690"/>
      <c r="Q468" s="690"/>
      <c r="R468" s="690"/>
      <c r="S468" s="690"/>
      <c r="T468" s="690"/>
      <c r="U468" s="690"/>
      <c r="V468" s="690"/>
      <c r="W468" s="690"/>
      <c r="X468" s="690"/>
      <c r="Y468" s="690"/>
      <c r="Z468" s="690"/>
      <c r="AA468" s="690"/>
      <c r="AB468" s="690"/>
      <c r="AC468" s="690"/>
      <c r="AD468" s="690"/>
      <c r="AE468" s="690"/>
    </row>
    <row r="469" spans="1:31" ht="15.75" customHeight="1">
      <c r="A469" s="690"/>
      <c r="B469" s="690"/>
      <c r="C469" s="690"/>
      <c r="D469" s="690"/>
      <c r="E469" s="690"/>
      <c r="F469" s="690"/>
      <c r="G469" s="690"/>
      <c r="H469" s="690"/>
      <c r="I469" s="690"/>
      <c r="J469" s="690"/>
      <c r="K469" s="690"/>
      <c r="L469" s="690"/>
      <c r="M469" s="690"/>
      <c r="N469" s="690"/>
      <c r="O469" s="690"/>
      <c r="P469" s="690"/>
      <c r="Q469" s="690"/>
      <c r="R469" s="690"/>
      <c r="S469" s="690"/>
      <c r="T469" s="690"/>
      <c r="U469" s="690"/>
      <c r="V469" s="690"/>
      <c r="W469" s="690"/>
      <c r="X469" s="690"/>
      <c r="Y469" s="690"/>
      <c r="Z469" s="690"/>
      <c r="AA469" s="690"/>
      <c r="AB469" s="690"/>
      <c r="AC469" s="690"/>
      <c r="AD469" s="690"/>
      <c r="AE469" s="690"/>
    </row>
    <row r="470" spans="1:31" ht="15.75" customHeight="1">
      <c r="A470" s="690"/>
      <c r="B470" s="690"/>
      <c r="C470" s="690"/>
      <c r="D470" s="690"/>
      <c r="E470" s="690"/>
      <c r="F470" s="690"/>
      <c r="G470" s="690"/>
      <c r="H470" s="690"/>
      <c r="I470" s="690"/>
      <c r="J470" s="690"/>
      <c r="K470" s="690"/>
      <c r="L470" s="690"/>
      <c r="M470" s="690"/>
      <c r="N470" s="690"/>
      <c r="O470" s="690"/>
      <c r="P470" s="690"/>
      <c r="Q470" s="690"/>
      <c r="R470" s="690"/>
      <c r="S470" s="690"/>
      <c r="T470" s="690"/>
      <c r="U470" s="690"/>
      <c r="V470" s="690"/>
      <c r="W470" s="690"/>
      <c r="X470" s="690"/>
      <c r="Y470" s="690"/>
      <c r="Z470" s="690"/>
      <c r="AA470" s="690"/>
      <c r="AB470" s="690"/>
      <c r="AC470" s="690"/>
      <c r="AD470" s="690"/>
      <c r="AE470" s="690"/>
    </row>
    <row r="471" spans="1:31" ht="15.75" customHeight="1">
      <c r="A471" s="690"/>
      <c r="B471" s="690"/>
      <c r="C471" s="690"/>
      <c r="D471" s="690"/>
      <c r="E471" s="690"/>
      <c r="F471" s="690"/>
      <c r="G471" s="690"/>
      <c r="H471" s="690"/>
      <c r="I471" s="690"/>
      <c r="J471" s="690"/>
      <c r="K471" s="690"/>
      <c r="L471" s="690"/>
      <c r="M471" s="690"/>
      <c r="N471" s="690"/>
      <c r="O471" s="690"/>
      <c r="P471" s="690"/>
      <c r="Q471" s="690"/>
      <c r="R471" s="690"/>
      <c r="S471" s="690"/>
      <c r="T471" s="690"/>
      <c r="U471" s="690"/>
      <c r="V471" s="690"/>
      <c r="W471" s="690"/>
      <c r="X471" s="690"/>
      <c r="Y471" s="690"/>
      <c r="Z471" s="690"/>
      <c r="AA471" s="690"/>
      <c r="AB471" s="690"/>
      <c r="AC471" s="690"/>
      <c r="AD471" s="690"/>
      <c r="AE471" s="690"/>
    </row>
    <row r="472" spans="1:31" ht="15.75" customHeight="1">
      <c r="A472" s="690"/>
      <c r="B472" s="690"/>
      <c r="C472" s="690"/>
      <c r="D472" s="690"/>
      <c r="E472" s="690"/>
      <c r="F472" s="690"/>
      <c r="G472" s="690"/>
      <c r="H472" s="690"/>
      <c r="I472" s="690"/>
      <c r="J472" s="690"/>
      <c r="K472" s="690"/>
      <c r="L472" s="690"/>
      <c r="M472" s="690"/>
      <c r="N472" s="690"/>
      <c r="O472" s="690"/>
      <c r="P472" s="690"/>
      <c r="Q472" s="690"/>
      <c r="R472" s="690"/>
      <c r="S472" s="690"/>
      <c r="T472" s="690"/>
      <c r="U472" s="690"/>
      <c r="V472" s="690"/>
      <c r="W472" s="690"/>
      <c r="X472" s="690"/>
      <c r="Y472" s="690"/>
      <c r="Z472" s="690"/>
      <c r="AA472" s="690"/>
      <c r="AB472" s="690"/>
      <c r="AC472" s="690"/>
      <c r="AD472" s="690"/>
      <c r="AE472" s="690"/>
    </row>
    <row r="473" spans="1:31" ht="15.75" customHeight="1">
      <c r="A473" s="690"/>
      <c r="B473" s="690"/>
      <c r="C473" s="690"/>
      <c r="D473" s="690"/>
      <c r="E473" s="690"/>
      <c r="F473" s="690"/>
      <c r="G473" s="690"/>
      <c r="H473" s="690"/>
      <c r="I473" s="690"/>
      <c r="J473" s="690"/>
      <c r="K473" s="690"/>
      <c r="L473" s="690"/>
      <c r="M473" s="690"/>
      <c r="N473" s="690"/>
      <c r="O473" s="690"/>
      <c r="P473" s="690"/>
      <c r="Q473" s="690"/>
      <c r="R473" s="690"/>
      <c r="S473" s="690"/>
      <c r="T473" s="690"/>
      <c r="U473" s="690"/>
      <c r="V473" s="690"/>
      <c r="W473" s="690"/>
      <c r="X473" s="690"/>
      <c r="Y473" s="690"/>
      <c r="Z473" s="690"/>
      <c r="AA473" s="690"/>
      <c r="AB473" s="690"/>
      <c r="AC473" s="690"/>
      <c r="AD473" s="690"/>
      <c r="AE473" s="690"/>
    </row>
    <row r="474" spans="1:31" ht="15.75" customHeight="1">
      <c r="A474" s="690"/>
      <c r="B474" s="690"/>
      <c r="C474" s="690"/>
      <c r="D474" s="690"/>
      <c r="E474" s="690"/>
      <c r="F474" s="690"/>
      <c r="G474" s="690"/>
      <c r="H474" s="690"/>
      <c r="I474" s="690"/>
      <c r="J474" s="690"/>
      <c r="K474" s="690"/>
      <c r="L474" s="690"/>
      <c r="M474" s="690"/>
      <c r="N474" s="690"/>
      <c r="O474" s="690"/>
      <c r="P474" s="690"/>
      <c r="Q474" s="690"/>
      <c r="R474" s="690"/>
      <c r="S474" s="690"/>
      <c r="T474" s="690"/>
      <c r="U474" s="690"/>
      <c r="V474" s="690"/>
      <c r="W474" s="690"/>
      <c r="X474" s="690"/>
      <c r="Y474" s="690"/>
      <c r="Z474" s="690"/>
      <c r="AA474" s="690"/>
      <c r="AB474" s="690"/>
      <c r="AC474" s="690"/>
      <c r="AD474" s="690"/>
      <c r="AE474" s="690"/>
    </row>
    <row r="475" spans="1:31" ht="15.75" customHeight="1">
      <c r="A475" s="690"/>
      <c r="B475" s="690"/>
      <c r="C475" s="690"/>
      <c r="D475" s="690"/>
      <c r="E475" s="690"/>
      <c r="F475" s="690"/>
      <c r="G475" s="690"/>
      <c r="H475" s="690"/>
      <c r="I475" s="690"/>
      <c r="J475" s="690"/>
      <c r="K475" s="690"/>
      <c r="L475" s="690"/>
      <c r="M475" s="690"/>
      <c r="N475" s="690"/>
      <c r="O475" s="690"/>
      <c r="P475" s="690"/>
      <c r="Q475" s="690"/>
      <c r="R475" s="690"/>
      <c r="S475" s="690"/>
      <c r="T475" s="690"/>
      <c r="U475" s="690"/>
      <c r="V475" s="690"/>
      <c r="W475" s="690"/>
      <c r="X475" s="690"/>
      <c r="Y475" s="690"/>
      <c r="Z475" s="690"/>
      <c r="AA475" s="690"/>
      <c r="AB475" s="690"/>
      <c r="AC475" s="690"/>
      <c r="AD475" s="690"/>
      <c r="AE475" s="690"/>
    </row>
    <row r="476" spans="1:31" ht="15.75" customHeight="1">
      <c r="A476" s="690"/>
      <c r="B476" s="690"/>
      <c r="C476" s="690"/>
      <c r="D476" s="690"/>
      <c r="E476" s="690"/>
      <c r="F476" s="690"/>
      <c r="G476" s="690"/>
      <c r="H476" s="690"/>
      <c r="I476" s="690"/>
      <c r="J476" s="690"/>
      <c r="K476" s="690"/>
      <c r="L476" s="690"/>
      <c r="M476" s="690"/>
      <c r="N476" s="690"/>
      <c r="O476" s="690"/>
      <c r="P476" s="690"/>
      <c r="Q476" s="690"/>
      <c r="R476" s="690"/>
      <c r="S476" s="690"/>
      <c r="T476" s="690"/>
      <c r="U476" s="690"/>
      <c r="V476" s="690"/>
      <c r="W476" s="690"/>
      <c r="X476" s="690"/>
      <c r="Y476" s="690"/>
      <c r="Z476" s="690"/>
      <c r="AA476" s="690"/>
      <c r="AB476" s="690"/>
      <c r="AC476" s="690"/>
      <c r="AD476" s="690"/>
      <c r="AE476" s="690"/>
    </row>
    <row r="477" spans="1:31" ht="15.75" customHeight="1">
      <c r="A477" s="690"/>
      <c r="B477" s="690"/>
      <c r="C477" s="690"/>
      <c r="D477" s="690"/>
      <c r="E477" s="690"/>
      <c r="F477" s="690"/>
      <c r="G477" s="690"/>
      <c r="H477" s="690"/>
      <c r="I477" s="690"/>
      <c r="J477" s="690"/>
      <c r="K477" s="690"/>
      <c r="L477" s="690"/>
      <c r="M477" s="690"/>
      <c r="N477" s="690"/>
      <c r="O477" s="690"/>
      <c r="P477" s="690"/>
      <c r="Q477" s="690"/>
      <c r="R477" s="690"/>
      <c r="S477" s="690"/>
      <c r="T477" s="690"/>
      <c r="U477" s="690"/>
      <c r="V477" s="690"/>
      <c r="W477" s="690"/>
      <c r="X477" s="690"/>
      <c r="Y477" s="690"/>
      <c r="Z477" s="690"/>
      <c r="AA477" s="690"/>
      <c r="AB477" s="690"/>
      <c r="AC477" s="690"/>
      <c r="AD477" s="690"/>
      <c r="AE477" s="690"/>
    </row>
    <row r="478" spans="1:31" ht="15.75" customHeight="1">
      <c r="A478" s="690"/>
      <c r="B478" s="690"/>
      <c r="C478" s="690"/>
      <c r="D478" s="690"/>
      <c r="E478" s="690"/>
      <c r="F478" s="690"/>
      <c r="G478" s="690"/>
      <c r="H478" s="690"/>
      <c r="I478" s="690"/>
      <c r="J478" s="690"/>
      <c r="K478" s="690"/>
      <c r="L478" s="690"/>
      <c r="M478" s="690"/>
      <c r="N478" s="690"/>
      <c r="O478" s="690"/>
      <c r="P478" s="690"/>
      <c r="Q478" s="690"/>
      <c r="R478" s="690"/>
      <c r="S478" s="690"/>
      <c r="T478" s="690"/>
      <c r="U478" s="690"/>
      <c r="V478" s="690"/>
      <c r="W478" s="690"/>
      <c r="X478" s="690"/>
      <c r="Y478" s="690"/>
      <c r="Z478" s="690"/>
      <c r="AA478" s="690"/>
      <c r="AB478" s="690"/>
      <c r="AC478" s="690"/>
      <c r="AD478" s="690"/>
      <c r="AE478" s="690"/>
    </row>
    <row r="479" spans="1:31" ht="15.75" customHeight="1">
      <c r="A479" s="690"/>
      <c r="B479" s="690"/>
      <c r="C479" s="690"/>
      <c r="D479" s="690"/>
      <c r="E479" s="690"/>
      <c r="F479" s="690"/>
      <c r="G479" s="690"/>
      <c r="H479" s="690"/>
      <c r="I479" s="690"/>
      <c r="J479" s="690"/>
      <c r="K479" s="690"/>
      <c r="L479" s="690"/>
      <c r="M479" s="690"/>
      <c r="N479" s="690"/>
      <c r="O479" s="690"/>
      <c r="P479" s="690"/>
      <c r="Q479" s="690"/>
      <c r="R479" s="690"/>
      <c r="S479" s="690"/>
      <c r="T479" s="690"/>
      <c r="U479" s="690"/>
      <c r="V479" s="690"/>
      <c r="W479" s="690"/>
      <c r="X479" s="690"/>
      <c r="Y479" s="690"/>
      <c r="Z479" s="690"/>
      <c r="AA479" s="690"/>
      <c r="AB479" s="690"/>
      <c r="AC479" s="690"/>
      <c r="AD479" s="690"/>
      <c r="AE479" s="690"/>
    </row>
    <row r="480" spans="1:31" ht="15.75" customHeight="1">
      <c r="A480" s="690"/>
      <c r="B480" s="690"/>
      <c r="C480" s="690"/>
      <c r="D480" s="690"/>
      <c r="E480" s="690"/>
      <c r="F480" s="690"/>
      <c r="G480" s="690"/>
      <c r="H480" s="690"/>
      <c r="I480" s="690"/>
      <c r="J480" s="690"/>
      <c r="K480" s="690"/>
      <c r="L480" s="690"/>
      <c r="M480" s="690"/>
      <c r="N480" s="690"/>
      <c r="O480" s="690"/>
      <c r="P480" s="690"/>
      <c r="Q480" s="690"/>
      <c r="R480" s="690"/>
      <c r="S480" s="690"/>
      <c r="T480" s="690"/>
      <c r="U480" s="690"/>
      <c r="V480" s="690"/>
      <c r="W480" s="690"/>
      <c r="X480" s="690"/>
      <c r="Y480" s="690"/>
      <c r="Z480" s="690"/>
      <c r="AA480" s="690"/>
      <c r="AB480" s="690"/>
      <c r="AC480" s="690"/>
      <c r="AD480" s="690"/>
      <c r="AE480" s="690"/>
    </row>
    <row r="481" spans="1:31" ht="15.75" customHeight="1">
      <c r="A481" s="690"/>
      <c r="B481" s="690"/>
      <c r="C481" s="690"/>
      <c r="D481" s="690"/>
      <c r="E481" s="690"/>
      <c r="F481" s="690"/>
      <c r="G481" s="690"/>
      <c r="H481" s="690"/>
      <c r="I481" s="690"/>
      <c r="J481" s="690"/>
      <c r="K481" s="690"/>
      <c r="L481" s="690"/>
      <c r="M481" s="690"/>
      <c r="N481" s="690"/>
      <c r="O481" s="690"/>
      <c r="P481" s="690"/>
      <c r="Q481" s="690"/>
      <c r="R481" s="690"/>
      <c r="S481" s="690"/>
      <c r="T481" s="690"/>
      <c r="U481" s="690"/>
      <c r="V481" s="690"/>
      <c r="W481" s="690"/>
      <c r="X481" s="690"/>
      <c r="Y481" s="690"/>
      <c r="Z481" s="690"/>
      <c r="AA481" s="690"/>
      <c r="AB481" s="690"/>
      <c r="AC481" s="690"/>
      <c r="AD481" s="690"/>
      <c r="AE481" s="690"/>
    </row>
    <row r="482" spans="1:31" ht="15.75" customHeight="1">
      <c r="A482" s="690"/>
      <c r="B482" s="690"/>
      <c r="C482" s="690"/>
      <c r="D482" s="690"/>
      <c r="E482" s="690"/>
      <c r="F482" s="690"/>
      <c r="G482" s="690"/>
      <c r="H482" s="690"/>
      <c r="I482" s="690"/>
      <c r="J482" s="690"/>
      <c r="K482" s="690"/>
      <c r="L482" s="690"/>
      <c r="M482" s="690"/>
      <c r="N482" s="690"/>
      <c r="O482" s="690"/>
      <c r="P482" s="690"/>
      <c r="Q482" s="690"/>
      <c r="R482" s="690"/>
      <c r="S482" s="690"/>
      <c r="T482" s="690"/>
      <c r="U482" s="690"/>
      <c r="V482" s="690"/>
      <c r="W482" s="690"/>
      <c r="X482" s="690"/>
      <c r="Y482" s="690"/>
      <c r="Z482" s="690"/>
      <c r="AA482" s="690"/>
      <c r="AB482" s="690"/>
      <c r="AC482" s="690"/>
      <c r="AD482" s="690"/>
      <c r="AE482" s="690"/>
    </row>
    <row r="483" spans="1:31" ht="15.75" customHeight="1">
      <c r="A483" s="690"/>
      <c r="B483" s="690"/>
      <c r="C483" s="690"/>
      <c r="D483" s="690"/>
      <c r="E483" s="690"/>
      <c r="F483" s="690"/>
      <c r="G483" s="690"/>
      <c r="H483" s="690"/>
      <c r="I483" s="690"/>
      <c r="J483" s="690"/>
      <c r="K483" s="690"/>
      <c r="L483" s="690"/>
      <c r="M483" s="690"/>
      <c r="N483" s="690"/>
      <c r="O483" s="690"/>
      <c r="P483" s="690"/>
      <c r="Q483" s="690"/>
      <c r="R483" s="690"/>
      <c r="S483" s="690"/>
      <c r="T483" s="690"/>
      <c r="U483" s="690"/>
      <c r="V483" s="690"/>
      <c r="W483" s="690"/>
      <c r="X483" s="690"/>
      <c r="Y483" s="690"/>
      <c r="Z483" s="690"/>
      <c r="AA483" s="690"/>
      <c r="AB483" s="690"/>
      <c r="AC483" s="690"/>
      <c r="AD483" s="690"/>
      <c r="AE483" s="690"/>
    </row>
    <row r="484" spans="1:31" ht="15.75" customHeight="1">
      <c r="A484" s="690"/>
      <c r="B484" s="690"/>
      <c r="C484" s="690"/>
      <c r="D484" s="690"/>
      <c r="E484" s="690"/>
      <c r="F484" s="690"/>
      <c r="G484" s="690"/>
      <c r="H484" s="690"/>
      <c r="I484" s="690"/>
      <c r="J484" s="690"/>
      <c r="K484" s="690"/>
      <c r="L484" s="690"/>
      <c r="M484" s="690"/>
      <c r="N484" s="690"/>
      <c r="O484" s="690"/>
      <c r="P484" s="690"/>
      <c r="Q484" s="690"/>
      <c r="R484" s="690"/>
      <c r="S484" s="690"/>
      <c r="T484" s="690"/>
      <c r="U484" s="690"/>
      <c r="V484" s="690"/>
      <c r="W484" s="690"/>
      <c r="X484" s="690"/>
      <c r="Y484" s="690"/>
      <c r="Z484" s="690"/>
      <c r="AA484" s="690"/>
      <c r="AB484" s="690"/>
      <c r="AC484" s="690"/>
      <c r="AD484" s="690"/>
      <c r="AE484" s="690"/>
    </row>
    <row r="485" spans="1:31" ht="15.75" customHeight="1">
      <c r="A485" s="690"/>
      <c r="B485" s="690"/>
      <c r="C485" s="690"/>
      <c r="D485" s="690"/>
      <c r="E485" s="690"/>
      <c r="F485" s="690"/>
      <c r="G485" s="690"/>
      <c r="H485" s="690"/>
      <c r="I485" s="690"/>
      <c r="J485" s="690"/>
      <c r="K485" s="690"/>
      <c r="L485" s="690"/>
      <c r="M485" s="690"/>
      <c r="N485" s="690"/>
      <c r="O485" s="690"/>
      <c r="P485" s="690"/>
      <c r="Q485" s="690"/>
      <c r="R485" s="690"/>
      <c r="S485" s="690"/>
      <c r="T485" s="690"/>
      <c r="U485" s="690"/>
      <c r="V485" s="690"/>
      <c r="W485" s="690"/>
      <c r="X485" s="690"/>
      <c r="Y485" s="690"/>
      <c r="Z485" s="690"/>
      <c r="AA485" s="690"/>
      <c r="AB485" s="690"/>
      <c r="AC485" s="690"/>
      <c r="AD485" s="690"/>
      <c r="AE485" s="690"/>
    </row>
    <row r="486" spans="1:31" ht="15.75" customHeight="1">
      <c r="A486" s="690"/>
      <c r="B486" s="690"/>
      <c r="C486" s="690"/>
      <c r="D486" s="690"/>
      <c r="E486" s="690"/>
      <c r="F486" s="690"/>
      <c r="G486" s="690"/>
      <c r="H486" s="690"/>
      <c r="I486" s="690"/>
      <c r="J486" s="690"/>
      <c r="K486" s="690"/>
      <c r="L486" s="690"/>
      <c r="M486" s="690"/>
      <c r="N486" s="690"/>
      <c r="O486" s="690"/>
      <c r="P486" s="690"/>
      <c r="Q486" s="690"/>
      <c r="R486" s="690"/>
      <c r="S486" s="690"/>
      <c r="T486" s="690"/>
      <c r="U486" s="690"/>
      <c r="V486" s="690"/>
      <c r="W486" s="690"/>
      <c r="X486" s="690"/>
      <c r="Y486" s="690"/>
      <c r="Z486" s="690"/>
      <c r="AA486" s="690"/>
      <c r="AB486" s="690"/>
      <c r="AC486" s="690"/>
      <c r="AD486" s="690"/>
      <c r="AE486" s="690"/>
    </row>
    <row r="487" spans="1:31" ht="15.75" customHeight="1">
      <c r="A487" s="690"/>
      <c r="B487" s="690"/>
      <c r="C487" s="690"/>
      <c r="D487" s="690"/>
      <c r="E487" s="690"/>
      <c r="F487" s="690"/>
      <c r="G487" s="690"/>
      <c r="H487" s="690"/>
      <c r="I487" s="690"/>
      <c r="J487" s="690"/>
      <c r="K487" s="690"/>
      <c r="L487" s="690"/>
      <c r="M487" s="690"/>
      <c r="N487" s="690"/>
      <c r="O487" s="690"/>
      <c r="P487" s="690"/>
      <c r="Q487" s="690"/>
      <c r="R487" s="690"/>
      <c r="S487" s="690"/>
      <c r="T487" s="690"/>
      <c r="U487" s="690"/>
      <c r="V487" s="690"/>
      <c r="W487" s="690"/>
      <c r="X487" s="690"/>
      <c r="Y487" s="690"/>
      <c r="Z487" s="690"/>
      <c r="AA487" s="690"/>
      <c r="AB487" s="690"/>
      <c r="AC487" s="690"/>
      <c r="AD487" s="690"/>
      <c r="AE487" s="690"/>
    </row>
    <row r="488" spans="1:31" ht="15.75" customHeight="1">
      <c r="A488" s="690"/>
      <c r="B488" s="690"/>
      <c r="C488" s="690"/>
      <c r="D488" s="690"/>
      <c r="E488" s="690"/>
      <c r="F488" s="690"/>
      <c r="G488" s="690"/>
      <c r="H488" s="690"/>
      <c r="I488" s="690"/>
      <c r="J488" s="690"/>
      <c r="K488" s="690"/>
      <c r="L488" s="690"/>
      <c r="M488" s="690"/>
      <c r="N488" s="690"/>
      <c r="O488" s="690"/>
      <c r="P488" s="690"/>
      <c r="Q488" s="690"/>
      <c r="R488" s="690"/>
      <c r="S488" s="690"/>
      <c r="T488" s="690"/>
      <c r="U488" s="690"/>
      <c r="V488" s="690"/>
      <c r="W488" s="690"/>
      <c r="X488" s="690"/>
      <c r="Y488" s="690"/>
      <c r="Z488" s="690"/>
      <c r="AA488" s="690"/>
      <c r="AB488" s="690"/>
      <c r="AC488" s="690"/>
      <c r="AD488" s="690"/>
      <c r="AE488" s="690"/>
    </row>
    <row r="489" spans="1:31" ht="15.75" customHeight="1">
      <c r="A489" s="690"/>
      <c r="B489" s="690"/>
      <c r="C489" s="690"/>
      <c r="D489" s="690"/>
      <c r="E489" s="690"/>
      <c r="F489" s="690"/>
      <c r="G489" s="690"/>
      <c r="H489" s="690"/>
      <c r="I489" s="690"/>
      <c r="J489" s="690"/>
      <c r="K489" s="690"/>
      <c r="L489" s="690"/>
      <c r="M489" s="690"/>
      <c r="N489" s="690"/>
      <c r="O489" s="690"/>
      <c r="P489" s="690"/>
      <c r="Q489" s="690"/>
      <c r="R489" s="690"/>
      <c r="S489" s="690"/>
      <c r="T489" s="690"/>
      <c r="U489" s="690"/>
      <c r="V489" s="690"/>
      <c r="W489" s="690"/>
      <c r="X489" s="690"/>
      <c r="Y489" s="690"/>
      <c r="Z489" s="690"/>
      <c r="AA489" s="690"/>
      <c r="AB489" s="690"/>
      <c r="AC489" s="690"/>
      <c r="AD489" s="690"/>
      <c r="AE489" s="690"/>
    </row>
    <row r="490" spans="1:31" ht="15.75" customHeight="1">
      <c r="A490" s="690"/>
      <c r="B490" s="690"/>
      <c r="C490" s="690"/>
      <c r="D490" s="690"/>
      <c r="E490" s="690"/>
      <c r="F490" s="690"/>
      <c r="G490" s="690"/>
      <c r="H490" s="690"/>
      <c r="I490" s="690"/>
      <c r="J490" s="690"/>
      <c r="K490" s="690"/>
      <c r="L490" s="690"/>
      <c r="M490" s="690"/>
      <c r="N490" s="690"/>
      <c r="O490" s="690"/>
      <c r="P490" s="690"/>
      <c r="Q490" s="690"/>
      <c r="R490" s="690"/>
      <c r="S490" s="690"/>
      <c r="T490" s="690"/>
      <c r="U490" s="690"/>
      <c r="V490" s="690"/>
      <c r="W490" s="690"/>
      <c r="X490" s="690"/>
      <c r="Y490" s="690"/>
      <c r="Z490" s="690"/>
      <c r="AA490" s="690"/>
      <c r="AB490" s="690"/>
      <c r="AC490" s="690"/>
      <c r="AD490" s="690"/>
      <c r="AE490" s="690"/>
    </row>
    <row r="491" spans="1:31" ht="15.75" customHeight="1">
      <c r="A491" s="690"/>
      <c r="B491" s="690"/>
      <c r="C491" s="690"/>
      <c r="D491" s="690"/>
      <c r="E491" s="690"/>
      <c r="F491" s="690"/>
      <c r="G491" s="690"/>
      <c r="H491" s="690"/>
      <c r="I491" s="690"/>
      <c r="J491" s="690"/>
      <c r="K491" s="690"/>
      <c r="L491" s="690"/>
      <c r="M491" s="690"/>
      <c r="N491" s="690"/>
      <c r="O491" s="690"/>
      <c r="P491" s="690"/>
      <c r="Q491" s="690"/>
      <c r="R491" s="690"/>
      <c r="S491" s="690"/>
      <c r="T491" s="690"/>
      <c r="U491" s="690"/>
      <c r="V491" s="690"/>
      <c r="W491" s="690"/>
      <c r="X491" s="690"/>
      <c r="Y491" s="690"/>
      <c r="Z491" s="690"/>
      <c r="AA491" s="690"/>
      <c r="AB491" s="690"/>
      <c r="AC491" s="690"/>
      <c r="AD491" s="690"/>
      <c r="AE491" s="690"/>
    </row>
    <row r="492" spans="1:31" ht="15.75" customHeight="1">
      <c r="A492" s="690"/>
      <c r="B492" s="690"/>
      <c r="C492" s="690"/>
      <c r="D492" s="690"/>
      <c r="E492" s="690"/>
      <c r="F492" s="690"/>
      <c r="G492" s="690"/>
      <c r="H492" s="690"/>
      <c r="I492" s="690"/>
      <c r="J492" s="690"/>
      <c r="K492" s="690"/>
      <c r="L492" s="690"/>
      <c r="M492" s="690"/>
      <c r="N492" s="690"/>
      <c r="O492" s="690"/>
      <c r="P492" s="690"/>
      <c r="Q492" s="690"/>
      <c r="R492" s="690"/>
      <c r="S492" s="690"/>
      <c r="T492" s="690"/>
      <c r="U492" s="690"/>
      <c r="V492" s="690"/>
      <c r="W492" s="690"/>
      <c r="X492" s="690"/>
      <c r="Y492" s="690"/>
      <c r="Z492" s="690"/>
      <c r="AA492" s="690"/>
      <c r="AB492" s="690"/>
      <c r="AC492" s="690"/>
      <c r="AD492" s="690"/>
      <c r="AE492" s="690"/>
    </row>
    <row r="493" spans="1:31" ht="15.75" customHeight="1">
      <c r="A493" s="690"/>
      <c r="B493" s="690"/>
      <c r="C493" s="690"/>
      <c r="D493" s="690"/>
      <c r="E493" s="690"/>
      <c r="F493" s="690"/>
      <c r="G493" s="690"/>
      <c r="H493" s="690"/>
      <c r="I493" s="690"/>
      <c r="J493" s="690"/>
      <c r="K493" s="690"/>
      <c r="L493" s="690"/>
      <c r="M493" s="690"/>
      <c r="N493" s="690"/>
      <c r="O493" s="690"/>
      <c r="P493" s="690"/>
      <c r="Q493" s="690"/>
      <c r="R493" s="690"/>
      <c r="S493" s="690"/>
      <c r="T493" s="690"/>
      <c r="U493" s="690"/>
      <c r="V493" s="690"/>
      <c r="W493" s="690"/>
      <c r="X493" s="690"/>
      <c r="Y493" s="690"/>
      <c r="Z493" s="690"/>
      <c r="AA493" s="690"/>
      <c r="AB493" s="690"/>
      <c r="AC493" s="690"/>
      <c r="AD493" s="690"/>
      <c r="AE493" s="690"/>
    </row>
    <row r="494" spans="1:31" ht="15.75" customHeight="1">
      <c r="A494" s="690"/>
      <c r="B494" s="690"/>
      <c r="C494" s="690"/>
      <c r="D494" s="690"/>
      <c r="E494" s="690"/>
      <c r="F494" s="690"/>
      <c r="G494" s="690"/>
      <c r="H494" s="690"/>
      <c r="I494" s="690"/>
      <c r="J494" s="690"/>
      <c r="K494" s="690"/>
      <c r="L494" s="690"/>
      <c r="M494" s="690"/>
      <c r="N494" s="690"/>
      <c r="O494" s="690"/>
      <c r="P494" s="690"/>
      <c r="Q494" s="690"/>
      <c r="R494" s="690"/>
      <c r="S494" s="690"/>
      <c r="T494" s="690"/>
      <c r="U494" s="690"/>
      <c r="V494" s="690"/>
      <c r="W494" s="690"/>
      <c r="X494" s="690"/>
      <c r="Y494" s="690"/>
      <c r="Z494" s="690"/>
      <c r="AA494" s="690"/>
      <c r="AB494" s="690"/>
      <c r="AC494" s="690"/>
      <c r="AD494" s="690"/>
      <c r="AE494" s="690"/>
    </row>
    <row r="495" spans="1:31" ht="15.75" customHeight="1">
      <c r="A495" s="690"/>
      <c r="B495" s="690"/>
      <c r="C495" s="690"/>
      <c r="D495" s="690"/>
      <c r="E495" s="690"/>
      <c r="F495" s="690"/>
      <c r="G495" s="690"/>
      <c r="H495" s="690"/>
      <c r="I495" s="690"/>
      <c r="J495" s="690"/>
      <c r="K495" s="690"/>
      <c r="L495" s="690"/>
      <c r="M495" s="690"/>
      <c r="N495" s="690"/>
      <c r="O495" s="690"/>
      <c r="P495" s="690"/>
      <c r="Q495" s="690"/>
      <c r="R495" s="690"/>
      <c r="S495" s="690"/>
      <c r="T495" s="690"/>
      <c r="U495" s="690"/>
      <c r="V495" s="690"/>
      <c r="W495" s="690"/>
      <c r="X495" s="690"/>
      <c r="Y495" s="690"/>
      <c r="Z495" s="690"/>
      <c r="AA495" s="690"/>
      <c r="AB495" s="690"/>
      <c r="AC495" s="690"/>
      <c r="AD495" s="690"/>
      <c r="AE495" s="690"/>
    </row>
    <row r="496" spans="1:31" ht="15.75" customHeight="1">
      <c r="A496" s="690"/>
      <c r="B496" s="690"/>
      <c r="C496" s="690"/>
      <c r="D496" s="690"/>
      <c r="E496" s="690"/>
      <c r="F496" s="690"/>
      <c r="G496" s="690"/>
      <c r="H496" s="690"/>
      <c r="I496" s="690"/>
      <c r="J496" s="690"/>
      <c r="K496" s="690"/>
      <c r="L496" s="690"/>
      <c r="M496" s="690"/>
      <c r="N496" s="690"/>
      <c r="O496" s="690"/>
      <c r="P496" s="690"/>
      <c r="Q496" s="690"/>
      <c r="R496" s="690"/>
      <c r="S496" s="690"/>
      <c r="T496" s="690"/>
      <c r="U496" s="690"/>
      <c r="V496" s="690"/>
      <c r="W496" s="690"/>
      <c r="X496" s="690"/>
      <c r="Y496" s="690"/>
      <c r="Z496" s="690"/>
      <c r="AA496" s="690"/>
      <c r="AB496" s="690"/>
      <c r="AC496" s="690"/>
      <c r="AD496" s="690"/>
      <c r="AE496" s="690"/>
    </row>
    <row r="497" spans="1:31" ht="15.75" customHeight="1">
      <c r="A497" s="690"/>
      <c r="B497" s="690"/>
      <c r="C497" s="690"/>
      <c r="D497" s="690"/>
      <c r="E497" s="690"/>
      <c r="F497" s="690"/>
      <c r="G497" s="690"/>
      <c r="H497" s="690"/>
      <c r="I497" s="690"/>
      <c r="J497" s="690"/>
      <c r="K497" s="690"/>
      <c r="L497" s="690"/>
      <c r="M497" s="690"/>
      <c r="N497" s="690"/>
      <c r="O497" s="690"/>
      <c r="P497" s="690"/>
      <c r="Q497" s="690"/>
      <c r="R497" s="690"/>
      <c r="S497" s="690"/>
      <c r="T497" s="690"/>
      <c r="U497" s="690"/>
      <c r="V497" s="690"/>
      <c r="W497" s="690"/>
      <c r="X497" s="690"/>
      <c r="Y497" s="690"/>
      <c r="Z497" s="690"/>
      <c r="AA497" s="690"/>
      <c r="AB497" s="690"/>
      <c r="AC497" s="690"/>
      <c r="AD497" s="690"/>
      <c r="AE497" s="690"/>
    </row>
    <row r="498" spans="1:31" ht="15.75" customHeight="1">
      <c r="A498" s="690"/>
      <c r="B498" s="690"/>
      <c r="C498" s="690"/>
      <c r="D498" s="690"/>
      <c r="E498" s="690"/>
      <c r="F498" s="690"/>
      <c r="G498" s="690"/>
      <c r="H498" s="690"/>
      <c r="I498" s="690"/>
      <c r="J498" s="690"/>
      <c r="K498" s="690"/>
      <c r="L498" s="690"/>
      <c r="M498" s="690"/>
      <c r="N498" s="690"/>
      <c r="O498" s="690"/>
      <c r="P498" s="690"/>
      <c r="Q498" s="690"/>
      <c r="R498" s="690"/>
      <c r="S498" s="690"/>
      <c r="T498" s="690"/>
      <c r="U498" s="690"/>
      <c r="V498" s="690"/>
      <c r="W498" s="690"/>
      <c r="X498" s="690"/>
      <c r="Y498" s="690"/>
      <c r="Z498" s="690"/>
      <c r="AA498" s="690"/>
      <c r="AB498" s="690"/>
      <c r="AC498" s="690"/>
      <c r="AD498" s="690"/>
      <c r="AE498" s="690"/>
    </row>
    <row r="499" spans="1:31" ht="15.75" customHeight="1">
      <c r="A499" s="690"/>
      <c r="B499" s="690"/>
      <c r="C499" s="690"/>
      <c r="D499" s="690"/>
      <c r="E499" s="690"/>
      <c r="F499" s="690"/>
      <c r="G499" s="690"/>
      <c r="H499" s="690"/>
      <c r="I499" s="690"/>
      <c r="J499" s="690"/>
      <c r="K499" s="690"/>
      <c r="L499" s="690"/>
      <c r="M499" s="690"/>
      <c r="N499" s="690"/>
      <c r="O499" s="690"/>
      <c r="P499" s="690"/>
      <c r="Q499" s="690"/>
      <c r="R499" s="690"/>
      <c r="S499" s="690"/>
      <c r="T499" s="690"/>
      <c r="U499" s="690"/>
      <c r="V499" s="690"/>
      <c r="W499" s="690"/>
      <c r="X499" s="690"/>
      <c r="Y499" s="690"/>
      <c r="Z499" s="690"/>
      <c r="AA499" s="690"/>
      <c r="AB499" s="690"/>
      <c r="AC499" s="690"/>
      <c r="AD499" s="690"/>
      <c r="AE499" s="690"/>
    </row>
    <row r="500" spans="1:31" ht="15.75" customHeight="1">
      <c r="A500" s="690"/>
      <c r="B500" s="690"/>
      <c r="C500" s="690"/>
      <c r="D500" s="690"/>
      <c r="E500" s="690"/>
      <c r="F500" s="690"/>
      <c r="G500" s="690"/>
      <c r="H500" s="690"/>
      <c r="I500" s="690"/>
      <c r="J500" s="690"/>
      <c r="K500" s="690"/>
      <c r="L500" s="690"/>
      <c r="M500" s="690"/>
      <c r="N500" s="690"/>
      <c r="O500" s="690"/>
      <c r="P500" s="690"/>
      <c r="Q500" s="690"/>
      <c r="R500" s="690"/>
      <c r="S500" s="690"/>
      <c r="T500" s="690"/>
      <c r="U500" s="690"/>
      <c r="V500" s="690"/>
      <c r="W500" s="690"/>
      <c r="X500" s="690"/>
      <c r="Y500" s="690"/>
      <c r="Z500" s="690"/>
      <c r="AA500" s="690"/>
      <c r="AB500" s="690"/>
      <c r="AC500" s="690"/>
      <c r="AD500" s="690"/>
      <c r="AE500" s="690"/>
    </row>
    <row r="501" spans="1:31" ht="15.75" customHeight="1">
      <c r="A501" s="690"/>
      <c r="B501" s="690"/>
      <c r="C501" s="690"/>
      <c r="D501" s="690"/>
      <c r="E501" s="690"/>
      <c r="F501" s="690"/>
      <c r="G501" s="690"/>
      <c r="H501" s="690"/>
      <c r="I501" s="690"/>
      <c r="J501" s="690"/>
      <c r="K501" s="690"/>
      <c r="L501" s="690"/>
      <c r="M501" s="690"/>
      <c r="N501" s="690"/>
      <c r="O501" s="690"/>
      <c r="P501" s="690"/>
      <c r="Q501" s="690"/>
      <c r="R501" s="690"/>
      <c r="S501" s="690"/>
      <c r="T501" s="690"/>
      <c r="U501" s="690"/>
      <c r="V501" s="690"/>
      <c r="W501" s="690"/>
      <c r="X501" s="690"/>
      <c r="Y501" s="690"/>
      <c r="Z501" s="690"/>
      <c r="AA501" s="690"/>
      <c r="AB501" s="690"/>
      <c r="AC501" s="690"/>
      <c r="AD501" s="690"/>
      <c r="AE501" s="690"/>
    </row>
    <row r="502" spans="1:31" ht="15.75" customHeight="1">
      <c r="A502" s="690"/>
      <c r="B502" s="690"/>
      <c r="C502" s="690"/>
      <c r="D502" s="690"/>
      <c r="E502" s="690"/>
      <c r="F502" s="690"/>
      <c r="G502" s="690"/>
      <c r="H502" s="690"/>
      <c r="I502" s="690"/>
      <c r="J502" s="690"/>
      <c r="K502" s="690"/>
      <c r="L502" s="690"/>
      <c r="M502" s="690"/>
      <c r="N502" s="690"/>
      <c r="O502" s="690"/>
      <c r="P502" s="690"/>
      <c r="Q502" s="690"/>
      <c r="R502" s="690"/>
      <c r="S502" s="690"/>
      <c r="T502" s="690"/>
      <c r="U502" s="690"/>
      <c r="V502" s="690"/>
      <c r="W502" s="690"/>
      <c r="X502" s="690"/>
      <c r="Y502" s="690"/>
      <c r="Z502" s="690"/>
      <c r="AA502" s="690"/>
      <c r="AB502" s="690"/>
      <c r="AC502" s="690"/>
      <c r="AD502" s="690"/>
      <c r="AE502" s="690"/>
    </row>
    <row r="503" spans="1:31" ht="15.75" customHeight="1">
      <c r="A503" s="690"/>
      <c r="B503" s="690"/>
      <c r="C503" s="690"/>
      <c r="D503" s="690"/>
      <c r="E503" s="690"/>
      <c r="F503" s="690"/>
      <c r="G503" s="690"/>
      <c r="H503" s="690"/>
      <c r="I503" s="690"/>
      <c r="J503" s="690"/>
      <c r="K503" s="690"/>
      <c r="L503" s="690"/>
      <c r="M503" s="690"/>
      <c r="N503" s="690"/>
      <c r="O503" s="690"/>
      <c r="P503" s="690"/>
      <c r="Q503" s="690"/>
      <c r="R503" s="690"/>
      <c r="S503" s="690"/>
      <c r="T503" s="690"/>
      <c r="U503" s="690"/>
      <c r="V503" s="690"/>
      <c r="W503" s="690"/>
      <c r="X503" s="690"/>
      <c r="Y503" s="690"/>
      <c r="Z503" s="690"/>
      <c r="AA503" s="690"/>
      <c r="AB503" s="690"/>
      <c r="AC503" s="690"/>
      <c r="AD503" s="690"/>
      <c r="AE503" s="690"/>
    </row>
    <row r="504" spans="1:31" ht="15.75" customHeight="1">
      <c r="A504" s="690"/>
      <c r="B504" s="690"/>
      <c r="C504" s="690"/>
      <c r="D504" s="690"/>
      <c r="E504" s="690"/>
      <c r="F504" s="690"/>
      <c r="G504" s="690"/>
      <c r="H504" s="690"/>
      <c r="I504" s="690"/>
      <c r="J504" s="690"/>
      <c r="K504" s="690"/>
      <c r="L504" s="690"/>
      <c r="M504" s="690"/>
      <c r="N504" s="690"/>
      <c r="O504" s="690"/>
      <c r="P504" s="690"/>
      <c r="Q504" s="690"/>
      <c r="R504" s="690"/>
      <c r="S504" s="690"/>
      <c r="T504" s="690"/>
      <c r="U504" s="690"/>
      <c r="V504" s="690"/>
      <c r="W504" s="690"/>
      <c r="X504" s="690"/>
      <c r="Y504" s="690"/>
      <c r="Z504" s="690"/>
      <c r="AA504" s="690"/>
      <c r="AB504" s="690"/>
      <c r="AC504" s="690"/>
      <c r="AD504" s="690"/>
      <c r="AE504" s="690"/>
    </row>
    <row r="505" spans="1:31" ht="15.75" customHeight="1">
      <c r="A505" s="690"/>
      <c r="B505" s="690"/>
      <c r="C505" s="690"/>
      <c r="D505" s="690"/>
      <c r="E505" s="690"/>
      <c r="F505" s="690"/>
      <c r="G505" s="690"/>
      <c r="H505" s="690"/>
      <c r="I505" s="690"/>
      <c r="J505" s="690"/>
      <c r="K505" s="690"/>
      <c r="L505" s="690"/>
      <c r="M505" s="690"/>
      <c r="N505" s="690"/>
      <c r="O505" s="690"/>
      <c r="P505" s="690"/>
      <c r="Q505" s="690"/>
      <c r="R505" s="690"/>
      <c r="S505" s="690"/>
      <c r="T505" s="690"/>
      <c r="U505" s="690"/>
      <c r="V505" s="690"/>
      <c r="W505" s="690"/>
      <c r="X505" s="690"/>
      <c r="Y505" s="690"/>
      <c r="Z505" s="690"/>
      <c r="AA505" s="690"/>
      <c r="AB505" s="690"/>
      <c r="AC505" s="690"/>
      <c r="AD505" s="690"/>
      <c r="AE505" s="690"/>
    </row>
    <row r="506" spans="1:31" ht="15.75" customHeight="1">
      <c r="A506" s="690"/>
      <c r="B506" s="690"/>
      <c r="C506" s="690"/>
      <c r="D506" s="690"/>
      <c r="E506" s="690"/>
      <c r="F506" s="690"/>
      <c r="G506" s="690"/>
      <c r="H506" s="690"/>
      <c r="I506" s="690"/>
      <c r="J506" s="690"/>
      <c r="K506" s="690"/>
      <c r="L506" s="690"/>
      <c r="M506" s="690"/>
      <c r="N506" s="690"/>
      <c r="O506" s="690"/>
      <c r="P506" s="690"/>
      <c r="Q506" s="690"/>
      <c r="R506" s="690"/>
      <c r="S506" s="690"/>
      <c r="T506" s="690"/>
      <c r="U506" s="690"/>
      <c r="V506" s="690"/>
      <c r="W506" s="690"/>
      <c r="X506" s="690"/>
      <c r="Y506" s="690"/>
      <c r="Z506" s="690"/>
      <c r="AA506" s="690"/>
      <c r="AB506" s="690"/>
      <c r="AC506" s="690"/>
      <c r="AD506" s="690"/>
      <c r="AE506" s="690"/>
    </row>
    <row r="507" spans="1:31" ht="15.75" customHeight="1">
      <c r="A507" s="690"/>
      <c r="B507" s="690"/>
      <c r="C507" s="690"/>
      <c r="D507" s="690"/>
      <c r="E507" s="690"/>
      <c r="F507" s="690"/>
      <c r="G507" s="690"/>
      <c r="H507" s="690"/>
      <c r="I507" s="690"/>
      <c r="J507" s="690"/>
      <c r="K507" s="690"/>
      <c r="L507" s="690"/>
      <c r="M507" s="690"/>
      <c r="N507" s="690"/>
      <c r="O507" s="690"/>
      <c r="P507" s="690"/>
      <c r="Q507" s="690"/>
      <c r="R507" s="690"/>
      <c r="S507" s="690"/>
      <c r="T507" s="690"/>
      <c r="U507" s="690"/>
      <c r="V507" s="690"/>
      <c r="W507" s="690"/>
      <c r="X507" s="690"/>
      <c r="Y507" s="690"/>
      <c r="Z507" s="690"/>
      <c r="AA507" s="690"/>
      <c r="AB507" s="690"/>
      <c r="AC507" s="690"/>
      <c r="AD507" s="690"/>
      <c r="AE507" s="690"/>
    </row>
    <row r="508" spans="1:31" ht="15.75" customHeight="1">
      <c r="A508" s="690"/>
      <c r="B508" s="690"/>
      <c r="C508" s="690"/>
      <c r="D508" s="690"/>
      <c r="E508" s="690"/>
      <c r="F508" s="690"/>
      <c r="G508" s="690"/>
      <c r="H508" s="690"/>
      <c r="I508" s="690"/>
      <c r="J508" s="690"/>
      <c r="K508" s="690"/>
      <c r="L508" s="690"/>
      <c r="M508" s="690"/>
      <c r="N508" s="690"/>
      <c r="O508" s="690"/>
      <c r="P508" s="690"/>
      <c r="Q508" s="690"/>
      <c r="R508" s="690"/>
      <c r="S508" s="690"/>
      <c r="T508" s="690"/>
      <c r="U508" s="690"/>
      <c r="V508" s="690"/>
      <c r="W508" s="690"/>
      <c r="X508" s="690"/>
      <c r="Y508" s="690"/>
      <c r="Z508" s="690"/>
      <c r="AA508" s="690"/>
      <c r="AB508" s="690"/>
      <c r="AC508" s="690"/>
      <c r="AD508" s="690"/>
      <c r="AE508" s="690"/>
    </row>
    <row r="509" spans="1:31" ht="15.75" customHeight="1">
      <c r="A509" s="690"/>
      <c r="B509" s="690"/>
      <c r="C509" s="690"/>
      <c r="D509" s="690"/>
      <c r="E509" s="690"/>
      <c r="F509" s="690"/>
      <c r="G509" s="690"/>
      <c r="H509" s="690"/>
      <c r="I509" s="690"/>
      <c r="J509" s="690"/>
      <c r="K509" s="690"/>
      <c r="L509" s="690"/>
      <c r="M509" s="690"/>
      <c r="N509" s="690"/>
      <c r="O509" s="690"/>
      <c r="P509" s="690"/>
      <c r="Q509" s="690"/>
      <c r="R509" s="690"/>
      <c r="S509" s="690"/>
      <c r="T509" s="690"/>
      <c r="U509" s="690"/>
      <c r="V509" s="690"/>
      <c r="W509" s="690"/>
      <c r="X509" s="690"/>
      <c r="Y509" s="690"/>
      <c r="Z509" s="690"/>
      <c r="AA509" s="690"/>
      <c r="AB509" s="690"/>
      <c r="AC509" s="690"/>
      <c r="AD509" s="690"/>
      <c r="AE509" s="690"/>
    </row>
    <row r="510" spans="1:31" ht="15.75" customHeight="1">
      <c r="A510" s="690"/>
      <c r="B510" s="690"/>
      <c r="C510" s="690"/>
      <c r="D510" s="690"/>
      <c r="E510" s="690"/>
      <c r="F510" s="690"/>
      <c r="G510" s="690"/>
      <c r="H510" s="690"/>
      <c r="I510" s="690"/>
      <c r="J510" s="690"/>
      <c r="K510" s="690"/>
      <c r="L510" s="690"/>
      <c r="M510" s="690"/>
      <c r="N510" s="690"/>
      <c r="O510" s="690"/>
      <c r="P510" s="690"/>
      <c r="Q510" s="690"/>
      <c r="R510" s="690"/>
      <c r="S510" s="690"/>
      <c r="T510" s="690"/>
      <c r="U510" s="690"/>
      <c r="V510" s="690"/>
      <c r="W510" s="690"/>
      <c r="X510" s="690"/>
      <c r="Y510" s="690"/>
      <c r="Z510" s="690"/>
      <c r="AA510" s="690"/>
      <c r="AB510" s="690"/>
      <c r="AC510" s="690"/>
      <c r="AD510" s="690"/>
      <c r="AE510" s="690"/>
    </row>
    <row r="511" spans="1:31" ht="15.75" customHeight="1">
      <c r="A511" s="690"/>
      <c r="B511" s="690"/>
      <c r="C511" s="690"/>
      <c r="D511" s="690"/>
      <c r="E511" s="690"/>
      <c r="F511" s="690"/>
      <c r="G511" s="690"/>
      <c r="H511" s="690"/>
      <c r="I511" s="690"/>
      <c r="J511" s="690"/>
      <c r="K511" s="690"/>
      <c r="L511" s="690"/>
      <c r="M511" s="690"/>
      <c r="N511" s="690"/>
      <c r="O511" s="690"/>
      <c r="P511" s="690"/>
      <c r="Q511" s="690"/>
      <c r="R511" s="690"/>
      <c r="S511" s="690"/>
      <c r="T511" s="690"/>
      <c r="U511" s="690"/>
      <c r="V511" s="690"/>
      <c r="W511" s="690"/>
      <c r="X511" s="690"/>
      <c r="Y511" s="690"/>
      <c r="Z511" s="690"/>
      <c r="AA511" s="690"/>
      <c r="AB511" s="690"/>
      <c r="AC511" s="690"/>
      <c r="AD511" s="690"/>
      <c r="AE511" s="690"/>
    </row>
    <row r="512" spans="1:31" ht="15.75" customHeight="1">
      <c r="A512" s="690"/>
      <c r="B512" s="690"/>
      <c r="C512" s="690"/>
      <c r="D512" s="690"/>
      <c r="E512" s="690"/>
      <c r="F512" s="690"/>
      <c r="G512" s="690"/>
      <c r="H512" s="690"/>
      <c r="I512" s="690"/>
      <c r="J512" s="690"/>
      <c r="K512" s="690"/>
      <c r="L512" s="690"/>
      <c r="M512" s="690"/>
      <c r="N512" s="690"/>
      <c r="O512" s="690"/>
      <c r="P512" s="690"/>
      <c r="Q512" s="690"/>
      <c r="R512" s="690"/>
      <c r="S512" s="690"/>
      <c r="T512" s="690"/>
      <c r="U512" s="690"/>
      <c r="V512" s="690"/>
      <c r="W512" s="690"/>
      <c r="X512" s="690"/>
      <c r="Y512" s="690"/>
      <c r="Z512" s="690"/>
      <c r="AA512" s="690"/>
      <c r="AB512" s="690"/>
      <c r="AC512" s="690"/>
      <c r="AD512" s="690"/>
      <c r="AE512" s="690"/>
    </row>
    <row r="513" spans="1:31" ht="15.75" customHeight="1">
      <c r="A513" s="690"/>
      <c r="B513" s="690"/>
      <c r="C513" s="690"/>
      <c r="D513" s="690"/>
      <c r="E513" s="690"/>
      <c r="F513" s="690"/>
      <c r="G513" s="690"/>
      <c r="H513" s="690"/>
      <c r="I513" s="690"/>
      <c r="J513" s="690"/>
      <c r="K513" s="690"/>
      <c r="L513" s="690"/>
      <c r="M513" s="690"/>
      <c r="N513" s="690"/>
      <c r="O513" s="690"/>
      <c r="P513" s="690"/>
      <c r="Q513" s="690"/>
      <c r="R513" s="690"/>
      <c r="S513" s="690"/>
      <c r="T513" s="690"/>
      <c r="U513" s="690"/>
      <c r="V513" s="690"/>
      <c r="W513" s="690"/>
      <c r="X513" s="690"/>
      <c r="Y513" s="690"/>
      <c r="Z513" s="690"/>
      <c r="AA513" s="690"/>
      <c r="AB513" s="690"/>
      <c r="AC513" s="690"/>
      <c r="AD513" s="690"/>
      <c r="AE513" s="690"/>
    </row>
    <row r="514" spans="1:31" ht="15.75" customHeight="1">
      <c r="A514" s="690"/>
      <c r="B514" s="690"/>
      <c r="C514" s="690"/>
      <c r="D514" s="690"/>
      <c r="E514" s="690"/>
      <c r="F514" s="690"/>
      <c r="G514" s="690"/>
      <c r="H514" s="690"/>
      <c r="I514" s="690"/>
      <c r="J514" s="690"/>
      <c r="K514" s="690"/>
      <c r="L514" s="690"/>
      <c r="M514" s="690"/>
      <c r="N514" s="690"/>
      <c r="O514" s="690"/>
      <c r="P514" s="690"/>
      <c r="Q514" s="690"/>
      <c r="R514" s="690"/>
      <c r="S514" s="690"/>
      <c r="T514" s="690"/>
      <c r="U514" s="690"/>
      <c r="V514" s="690"/>
      <c r="W514" s="690"/>
      <c r="X514" s="690"/>
      <c r="Y514" s="690"/>
      <c r="Z514" s="690"/>
      <c r="AA514" s="690"/>
      <c r="AB514" s="690"/>
      <c r="AC514" s="690"/>
      <c r="AD514" s="690"/>
      <c r="AE514" s="690"/>
    </row>
    <row r="515" spans="1:31" ht="15.75" customHeight="1">
      <c r="A515" s="690"/>
      <c r="B515" s="690"/>
      <c r="C515" s="690"/>
      <c r="D515" s="690"/>
      <c r="E515" s="690"/>
      <c r="F515" s="690"/>
      <c r="G515" s="690"/>
      <c r="H515" s="690"/>
      <c r="I515" s="690"/>
      <c r="J515" s="690"/>
      <c r="K515" s="690"/>
      <c r="L515" s="690"/>
      <c r="M515" s="690"/>
      <c r="N515" s="690"/>
      <c r="O515" s="690"/>
      <c r="P515" s="690"/>
      <c r="Q515" s="690"/>
      <c r="R515" s="690"/>
      <c r="S515" s="690"/>
      <c r="T515" s="690"/>
      <c r="U515" s="690"/>
      <c r="V515" s="690"/>
      <c r="W515" s="690"/>
      <c r="X515" s="690"/>
      <c r="Y515" s="690"/>
      <c r="Z515" s="690"/>
      <c r="AA515" s="690"/>
      <c r="AB515" s="690"/>
      <c r="AC515" s="690"/>
      <c r="AD515" s="690"/>
      <c r="AE515" s="690"/>
    </row>
    <row r="516" spans="1:31" ht="15.75" customHeight="1">
      <c r="A516" s="690"/>
      <c r="B516" s="690"/>
      <c r="C516" s="690"/>
      <c r="D516" s="690"/>
      <c r="E516" s="690"/>
      <c r="F516" s="690"/>
      <c r="G516" s="690"/>
      <c r="H516" s="690"/>
      <c r="I516" s="690"/>
      <c r="J516" s="690"/>
      <c r="K516" s="690"/>
      <c r="L516" s="690"/>
      <c r="M516" s="690"/>
      <c r="N516" s="690"/>
      <c r="O516" s="690"/>
      <c r="P516" s="690"/>
      <c r="Q516" s="690"/>
      <c r="R516" s="690"/>
      <c r="S516" s="690"/>
      <c r="T516" s="690"/>
      <c r="U516" s="690"/>
      <c r="V516" s="690"/>
      <c r="W516" s="690"/>
      <c r="X516" s="690"/>
      <c r="Y516" s="690"/>
      <c r="Z516" s="690"/>
      <c r="AA516" s="690"/>
      <c r="AB516" s="690"/>
      <c r="AC516" s="690"/>
      <c r="AD516" s="690"/>
      <c r="AE516" s="690"/>
    </row>
    <row r="517" spans="1:31" ht="15.75" customHeight="1">
      <c r="A517" s="690"/>
      <c r="B517" s="690"/>
      <c r="C517" s="690"/>
      <c r="D517" s="690"/>
      <c r="E517" s="690"/>
      <c r="F517" s="690"/>
      <c r="G517" s="690"/>
      <c r="H517" s="690"/>
      <c r="I517" s="690"/>
      <c r="J517" s="690"/>
      <c r="K517" s="690"/>
      <c r="L517" s="690"/>
      <c r="M517" s="690"/>
      <c r="N517" s="690"/>
      <c r="O517" s="690"/>
      <c r="P517" s="690"/>
      <c r="Q517" s="690"/>
      <c r="R517" s="690"/>
      <c r="S517" s="690"/>
      <c r="T517" s="690"/>
      <c r="U517" s="690"/>
      <c r="V517" s="690"/>
      <c r="W517" s="690"/>
      <c r="X517" s="690"/>
      <c r="Y517" s="690"/>
      <c r="Z517" s="690"/>
      <c r="AA517" s="690"/>
      <c r="AB517" s="690"/>
      <c r="AC517" s="690"/>
      <c r="AD517" s="690"/>
      <c r="AE517" s="690"/>
    </row>
    <row r="518" spans="1:31" ht="15.75" customHeight="1">
      <c r="A518" s="690"/>
      <c r="B518" s="690"/>
      <c r="C518" s="690"/>
      <c r="D518" s="690"/>
      <c r="E518" s="690"/>
      <c r="F518" s="690"/>
      <c r="G518" s="690"/>
      <c r="H518" s="690"/>
      <c r="I518" s="690"/>
      <c r="J518" s="690"/>
      <c r="K518" s="690"/>
      <c r="L518" s="690"/>
      <c r="M518" s="690"/>
      <c r="N518" s="690"/>
      <c r="O518" s="690"/>
      <c r="P518" s="690"/>
      <c r="Q518" s="690"/>
      <c r="R518" s="690"/>
      <c r="S518" s="690"/>
      <c r="T518" s="690"/>
      <c r="U518" s="690"/>
      <c r="V518" s="690"/>
      <c r="W518" s="690"/>
      <c r="X518" s="690"/>
      <c r="Y518" s="690"/>
      <c r="Z518" s="690"/>
      <c r="AA518" s="690"/>
      <c r="AB518" s="690"/>
      <c r="AC518" s="690"/>
      <c r="AD518" s="690"/>
      <c r="AE518" s="690"/>
    </row>
    <row r="519" spans="1:31" ht="15.75" customHeight="1">
      <c r="A519" s="690"/>
      <c r="B519" s="690"/>
      <c r="C519" s="690"/>
      <c r="D519" s="690"/>
      <c r="E519" s="690"/>
      <c r="F519" s="690"/>
      <c r="G519" s="690"/>
      <c r="H519" s="690"/>
      <c r="I519" s="690"/>
      <c r="J519" s="690"/>
      <c r="K519" s="690"/>
      <c r="L519" s="690"/>
      <c r="M519" s="690"/>
      <c r="N519" s="690"/>
      <c r="O519" s="690"/>
      <c r="P519" s="690"/>
      <c r="Q519" s="690"/>
      <c r="R519" s="690"/>
      <c r="S519" s="690"/>
      <c r="T519" s="690"/>
      <c r="U519" s="690"/>
      <c r="V519" s="690"/>
      <c r="W519" s="690"/>
      <c r="X519" s="690"/>
      <c r="Y519" s="690"/>
      <c r="Z519" s="690"/>
      <c r="AA519" s="690"/>
      <c r="AB519" s="690"/>
      <c r="AC519" s="690"/>
      <c r="AD519" s="690"/>
      <c r="AE519" s="690"/>
    </row>
    <row r="520" spans="1:31" ht="15.75" customHeight="1">
      <c r="A520" s="690"/>
      <c r="B520" s="690"/>
      <c r="C520" s="690"/>
      <c r="D520" s="690"/>
      <c r="E520" s="690"/>
      <c r="F520" s="690"/>
      <c r="G520" s="690"/>
      <c r="H520" s="690"/>
      <c r="I520" s="690"/>
      <c r="J520" s="690"/>
      <c r="K520" s="690"/>
      <c r="L520" s="690"/>
      <c r="M520" s="690"/>
      <c r="N520" s="690"/>
      <c r="O520" s="690"/>
      <c r="P520" s="690"/>
      <c r="Q520" s="690"/>
      <c r="R520" s="690"/>
      <c r="S520" s="690"/>
      <c r="T520" s="690"/>
      <c r="U520" s="690"/>
      <c r="V520" s="690"/>
      <c r="W520" s="690"/>
      <c r="X520" s="690"/>
      <c r="Y520" s="690"/>
      <c r="Z520" s="690"/>
      <c r="AA520" s="690"/>
      <c r="AB520" s="690"/>
      <c r="AC520" s="690"/>
      <c r="AD520" s="690"/>
      <c r="AE520" s="690"/>
    </row>
    <row r="521" spans="1:31" ht="15.75" customHeight="1">
      <c r="A521" s="690"/>
      <c r="B521" s="690"/>
      <c r="C521" s="690"/>
      <c r="D521" s="690"/>
      <c r="E521" s="690"/>
      <c r="F521" s="690"/>
      <c r="G521" s="690"/>
      <c r="H521" s="690"/>
      <c r="I521" s="690"/>
      <c r="J521" s="690"/>
      <c r="K521" s="690"/>
      <c r="L521" s="690"/>
      <c r="M521" s="690"/>
      <c r="N521" s="690"/>
      <c r="O521" s="690"/>
      <c r="P521" s="690"/>
      <c r="Q521" s="690"/>
      <c r="R521" s="690"/>
      <c r="S521" s="690"/>
      <c r="T521" s="690"/>
      <c r="U521" s="690"/>
      <c r="V521" s="690"/>
      <c r="W521" s="690"/>
      <c r="X521" s="690"/>
      <c r="Y521" s="690"/>
      <c r="Z521" s="690"/>
      <c r="AA521" s="690"/>
      <c r="AB521" s="690"/>
      <c r="AC521" s="690"/>
      <c r="AD521" s="690"/>
      <c r="AE521" s="690"/>
    </row>
    <row r="522" spans="1:31" ht="15.75" customHeight="1">
      <c r="A522" s="690"/>
      <c r="B522" s="690"/>
      <c r="C522" s="690"/>
      <c r="D522" s="690"/>
      <c r="E522" s="690"/>
      <c r="F522" s="690"/>
      <c r="G522" s="690"/>
      <c r="H522" s="690"/>
      <c r="I522" s="690"/>
      <c r="J522" s="690"/>
      <c r="K522" s="690"/>
      <c r="L522" s="690"/>
      <c r="M522" s="690"/>
      <c r="N522" s="690"/>
      <c r="O522" s="690"/>
      <c r="P522" s="690"/>
      <c r="Q522" s="690"/>
      <c r="R522" s="690"/>
      <c r="S522" s="690"/>
      <c r="T522" s="690"/>
      <c r="U522" s="690"/>
      <c r="V522" s="690"/>
      <c r="W522" s="690"/>
      <c r="X522" s="690"/>
      <c r="Y522" s="690"/>
      <c r="Z522" s="690"/>
      <c r="AA522" s="690"/>
      <c r="AB522" s="690"/>
      <c r="AC522" s="690"/>
      <c r="AD522" s="690"/>
      <c r="AE522" s="690"/>
    </row>
    <row r="523" spans="1:31" ht="15.75" customHeight="1">
      <c r="A523" s="690"/>
      <c r="B523" s="690"/>
      <c r="C523" s="690"/>
      <c r="D523" s="690"/>
      <c r="E523" s="690"/>
      <c r="F523" s="690"/>
      <c r="G523" s="690"/>
      <c r="H523" s="690"/>
      <c r="I523" s="690"/>
      <c r="J523" s="690"/>
      <c r="K523" s="690"/>
      <c r="L523" s="690"/>
      <c r="M523" s="690"/>
      <c r="N523" s="690"/>
      <c r="O523" s="690"/>
      <c r="P523" s="690"/>
      <c r="Q523" s="690"/>
      <c r="R523" s="690"/>
      <c r="S523" s="690"/>
      <c r="T523" s="690"/>
      <c r="U523" s="690"/>
      <c r="V523" s="690"/>
      <c r="W523" s="690"/>
      <c r="X523" s="690"/>
      <c r="Y523" s="690"/>
      <c r="Z523" s="690"/>
      <c r="AA523" s="690"/>
      <c r="AB523" s="690"/>
      <c r="AC523" s="690"/>
      <c r="AD523" s="690"/>
      <c r="AE523" s="690"/>
    </row>
    <row r="524" spans="1:31" ht="15.75" customHeight="1">
      <c r="A524" s="690"/>
      <c r="B524" s="690"/>
      <c r="C524" s="690"/>
      <c r="D524" s="690"/>
      <c r="E524" s="690"/>
      <c r="F524" s="690"/>
      <c r="G524" s="690"/>
      <c r="H524" s="690"/>
      <c r="I524" s="690"/>
      <c r="J524" s="690"/>
      <c r="K524" s="690"/>
      <c r="L524" s="690"/>
      <c r="M524" s="690"/>
      <c r="N524" s="690"/>
      <c r="O524" s="690"/>
      <c r="P524" s="690"/>
      <c r="Q524" s="690"/>
      <c r="R524" s="690"/>
      <c r="S524" s="690"/>
      <c r="T524" s="690"/>
      <c r="U524" s="690"/>
      <c r="V524" s="690"/>
      <c r="W524" s="690"/>
      <c r="X524" s="690"/>
      <c r="Y524" s="690"/>
      <c r="Z524" s="690"/>
      <c r="AA524" s="690"/>
      <c r="AB524" s="690"/>
      <c r="AC524" s="690"/>
      <c r="AD524" s="690"/>
      <c r="AE524" s="690"/>
    </row>
    <row r="525" spans="1:31" ht="15.75" customHeight="1">
      <c r="A525" s="690"/>
      <c r="B525" s="690"/>
      <c r="C525" s="690"/>
      <c r="D525" s="690"/>
      <c r="E525" s="690"/>
      <c r="F525" s="690"/>
      <c r="G525" s="690"/>
      <c r="H525" s="690"/>
      <c r="I525" s="690"/>
      <c r="J525" s="690"/>
      <c r="K525" s="690"/>
      <c r="L525" s="690"/>
      <c r="M525" s="690"/>
      <c r="N525" s="690"/>
      <c r="O525" s="690"/>
      <c r="P525" s="690"/>
      <c r="Q525" s="690"/>
      <c r="R525" s="690"/>
      <c r="S525" s="690"/>
      <c r="T525" s="690"/>
      <c r="U525" s="690"/>
      <c r="V525" s="690"/>
      <c r="W525" s="690"/>
      <c r="X525" s="690"/>
      <c r="Y525" s="690"/>
      <c r="Z525" s="690"/>
      <c r="AA525" s="690"/>
      <c r="AB525" s="690"/>
      <c r="AC525" s="690"/>
      <c r="AD525" s="690"/>
      <c r="AE525" s="690"/>
    </row>
    <row r="526" spans="1:31" ht="15.75" customHeight="1">
      <c r="A526" s="690"/>
      <c r="B526" s="690"/>
      <c r="C526" s="690"/>
      <c r="D526" s="690"/>
      <c r="E526" s="690"/>
      <c r="F526" s="690"/>
      <c r="G526" s="690"/>
      <c r="H526" s="690"/>
      <c r="I526" s="690"/>
      <c r="J526" s="690"/>
      <c r="K526" s="690"/>
      <c r="L526" s="690"/>
      <c r="M526" s="690"/>
      <c r="N526" s="690"/>
      <c r="O526" s="690"/>
      <c r="P526" s="690"/>
      <c r="Q526" s="690"/>
      <c r="R526" s="690"/>
      <c r="S526" s="690"/>
      <c r="T526" s="690"/>
      <c r="U526" s="690"/>
      <c r="V526" s="690"/>
      <c r="W526" s="690"/>
      <c r="X526" s="690"/>
      <c r="Y526" s="690"/>
      <c r="Z526" s="690"/>
      <c r="AA526" s="690"/>
      <c r="AB526" s="690"/>
      <c r="AC526" s="690"/>
      <c r="AD526" s="690"/>
      <c r="AE526" s="690"/>
    </row>
    <row r="527" spans="1:31" ht="15.75" customHeight="1">
      <c r="A527" s="690"/>
      <c r="B527" s="690"/>
      <c r="C527" s="690"/>
      <c r="D527" s="690"/>
      <c r="E527" s="690"/>
      <c r="F527" s="690"/>
      <c r="G527" s="690"/>
      <c r="H527" s="690"/>
      <c r="I527" s="690"/>
      <c r="J527" s="690"/>
      <c r="K527" s="690"/>
      <c r="L527" s="690"/>
      <c r="M527" s="690"/>
      <c r="N527" s="690"/>
      <c r="O527" s="690"/>
      <c r="P527" s="690"/>
      <c r="Q527" s="690"/>
      <c r="R527" s="690"/>
      <c r="S527" s="690"/>
      <c r="T527" s="690"/>
      <c r="U527" s="690"/>
      <c r="V527" s="690"/>
      <c r="W527" s="690"/>
      <c r="X527" s="690"/>
      <c r="Y527" s="690"/>
      <c r="Z527" s="690"/>
      <c r="AA527" s="690"/>
      <c r="AB527" s="690"/>
      <c r="AC527" s="690"/>
      <c r="AD527" s="690"/>
      <c r="AE527" s="690"/>
    </row>
    <row r="528" spans="1:31" ht="15.75" customHeight="1">
      <c r="A528" s="690"/>
      <c r="B528" s="690"/>
      <c r="C528" s="690"/>
      <c r="D528" s="690"/>
      <c r="E528" s="690"/>
      <c r="F528" s="690"/>
      <c r="G528" s="690"/>
      <c r="H528" s="690"/>
      <c r="I528" s="690"/>
      <c r="J528" s="690"/>
      <c r="K528" s="690"/>
      <c r="L528" s="690"/>
      <c r="M528" s="690"/>
      <c r="N528" s="690"/>
      <c r="O528" s="690"/>
      <c r="P528" s="690"/>
      <c r="Q528" s="690"/>
      <c r="R528" s="690"/>
      <c r="S528" s="690"/>
      <c r="T528" s="690"/>
      <c r="U528" s="690"/>
      <c r="V528" s="690"/>
      <c r="W528" s="690"/>
      <c r="X528" s="690"/>
      <c r="Y528" s="690"/>
      <c r="Z528" s="690"/>
      <c r="AA528" s="690"/>
      <c r="AB528" s="690"/>
      <c r="AC528" s="690"/>
      <c r="AD528" s="690"/>
      <c r="AE528" s="690"/>
    </row>
    <row r="529" spans="1:31" ht="15.75" customHeight="1">
      <c r="A529" s="690"/>
      <c r="B529" s="690"/>
      <c r="C529" s="690"/>
      <c r="D529" s="690"/>
      <c r="E529" s="690"/>
      <c r="F529" s="690"/>
      <c r="G529" s="690"/>
      <c r="H529" s="690"/>
      <c r="I529" s="690"/>
      <c r="J529" s="690"/>
      <c r="K529" s="690"/>
      <c r="L529" s="690"/>
      <c r="M529" s="690"/>
      <c r="N529" s="690"/>
      <c r="O529" s="690"/>
      <c r="P529" s="690"/>
      <c r="Q529" s="690"/>
      <c r="R529" s="690"/>
      <c r="S529" s="690"/>
      <c r="T529" s="690"/>
      <c r="U529" s="690"/>
      <c r="V529" s="690"/>
      <c r="W529" s="690"/>
      <c r="X529" s="690"/>
      <c r="Y529" s="690"/>
      <c r="Z529" s="690"/>
      <c r="AA529" s="690"/>
      <c r="AB529" s="690"/>
      <c r="AC529" s="690"/>
      <c r="AD529" s="690"/>
      <c r="AE529" s="690"/>
    </row>
    <row r="530" spans="1:31" ht="15.75" customHeight="1">
      <c r="A530" s="690"/>
      <c r="B530" s="690"/>
      <c r="C530" s="690"/>
      <c r="D530" s="690"/>
      <c r="E530" s="690"/>
      <c r="F530" s="690"/>
      <c r="G530" s="690"/>
      <c r="H530" s="690"/>
      <c r="I530" s="690"/>
      <c r="J530" s="690"/>
      <c r="K530" s="690"/>
      <c r="L530" s="690"/>
      <c r="M530" s="690"/>
      <c r="N530" s="690"/>
      <c r="O530" s="690"/>
      <c r="P530" s="690"/>
      <c r="Q530" s="690"/>
      <c r="R530" s="690"/>
      <c r="S530" s="690"/>
      <c r="T530" s="690"/>
      <c r="U530" s="690"/>
      <c r="V530" s="690"/>
      <c r="W530" s="690"/>
      <c r="X530" s="690"/>
      <c r="Y530" s="690"/>
      <c r="Z530" s="690"/>
      <c r="AA530" s="690"/>
      <c r="AB530" s="690"/>
      <c r="AC530" s="690"/>
      <c r="AD530" s="690"/>
      <c r="AE530" s="690"/>
    </row>
    <row r="531" spans="1:31" ht="15.75" customHeight="1">
      <c r="A531" s="690"/>
      <c r="B531" s="690"/>
      <c r="C531" s="690"/>
      <c r="D531" s="690"/>
      <c r="E531" s="690"/>
      <c r="F531" s="690"/>
      <c r="G531" s="690"/>
      <c r="H531" s="690"/>
      <c r="I531" s="690"/>
      <c r="J531" s="690"/>
      <c r="K531" s="690"/>
      <c r="L531" s="690"/>
      <c r="M531" s="690"/>
      <c r="N531" s="690"/>
      <c r="O531" s="690"/>
      <c r="P531" s="690"/>
      <c r="Q531" s="690"/>
      <c r="R531" s="690"/>
      <c r="S531" s="690"/>
      <c r="T531" s="690"/>
      <c r="U531" s="690"/>
      <c r="V531" s="690"/>
      <c r="W531" s="690"/>
      <c r="X531" s="690"/>
      <c r="Y531" s="690"/>
      <c r="Z531" s="690"/>
      <c r="AA531" s="690"/>
      <c r="AB531" s="690"/>
      <c r="AC531" s="690"/>
      <c r="AD531" s="690"/>
      <c r="AE531" s="690"/>
    </row>
    <row r="532" spans="1:31" ht="15.75" customHeight="1">
      <c r="A532" s="690"/>
      <c r="B532" s="690"/>
      <c r="C532" s="690"/>
      <c r="D532" s="690"/>
      <c r="E532" s="690"/>
      <c r="F532" s="690"/>
      <c r="G532" s="690"/>
      <c r="H532" s="690"/>
      <c r="I532" s="690"/>
      <c r="J532" s="690"/>
      <c r="K532" s="690"/>
      <c r="L532" s="690"/>
      <c r="M532" s="690"/>
      <c r="N532" s="690"/>
      <c r="O532" s="690"/>
      <c r="P532" s="690"/>
      <c r="Q532" s="690"/>
      <c r="R532" s="690"/>
      <c r="S532" s="690"/>
      <c r="T532" s="690"/>
      <c r="U532" s="690"/>
      <c r="V532" s="690"/>
      <c r="W532" s="690"/>
      <c r="X532" s="690"/>
      <c r="Y532" s="690"/>
      <c r="Z532" s="690"/>
      <c r="AA532" s="690"/>
      <c r="AB532" s="690"/>
      <c r="AC532" s="690"/>
      <c r="AD532" s="690"/>
      <c r="AE532" s="690"/>
    </row>
    <row r="533" spans="1:31" ht="15.75" customHeight="1">
      <c r="A533" s="690"/>
      <c r="B533" s="690"/>
      <c r="C533" s="690"/>
      <c r="D533" s="690"/>
      <c r="E533" s="690"/>
      <c r="F533" s="690"/>
      <c r="G533" s="690"/>
      <c r="H533" s="690"/>
      <c r="I533" s="690"/>
      <c r="J533" s="690"/>
      <c r="K533" s="690"/>
      <c r="L533" s="690"/>
      <c r="M533" s="690"/>
      <c r="N533" s="690"/>
      <c r="O533" s="690"/>
      <c r="P533" s="690"/>
      <c r="Q533" s="690"/>
      <c r="R533" s="690"/>
      <c r="S533" s="690"/>
      <c r="T533" s="690"/>
      <c r="U533" s="690"/>
      <c r="V533" s="690"/>
      <c r="W533" s="690"/>
      <c r="X533" s="690"/>
      <c r="Y533" s="690"/>
      <c r="Z533" s="690"/>
      <c r="AA533" s="690"/>
      <c r="AB533" s="690"/>
      <c r="AC533" s="690"/>
      <c r="AD533" s="690"/>
      <c r="AE533" s="690"/>
    </row>
    <row r="534" spans="1:31" ht="15.75" customHeight="1">
      <c r="A534" s="690"/>
      <c r="B534" s="690"/>
      <c r="C534" s="690"/>
      <c r="D534" s="690"/>
      <c r="E534" s="690"/>
      <c r="F534" s="690"/>
      <c r="G534" s="690"/>
      <c r="H534" s="690"/>
      <c r="I534" s="690"/>
      <c r="J534" s="690"/>
      <c r="K534" s="690"/>
      <c r="L534" s="690"/>
      <c r="M534" s="690"/>
      <c r="N534" s="690"/>
      <c r="O534" s="690"/>
      <c r="P534" s="690"/>
      <c r="Q534" s="690"/>
      <c r="R534" s="690"/>
      <c r="S534" s="690"/>
      <c r="T534" s="690"/>
      <c r="U534" s="690"/>
      <c r="V534" s="690"/>
      <c r="W534" s="690"/>
      <c r="X534" s="690"/>
      <c r="Y534" s="690"/>
      <c r="Z534" s="690"/>
      <c r="AA534" s="690"/>
      <c r="AB534" s="690"/>
      <c r="AC534" s="690"/>
      <c r="AD534" s="690"/>
      <c r="AE534" s="690"/>
    </row>
    <row r="535" spans="1:31" ht="15.75" customHeight="1">
      <c r="A535" s="690"/>
      <c r="B535" s="690"/>
      <c r="C535" s="690"/>
      <c r="D535" s="690"/>
      <c r="E535" s="690"/>
      <c r="F535" s="690"/>
      <c r="G535" s="690"/>
      <c r="H535" s="690"/>
      <c r="I535" s="690"/>
      <c r="J535" s="690"/>
      <c r="K535" s="690"/>
      <c r="L535" s="690"/>
      <c r="M535" s="690"/>
      <c r="N535" s="690"/>
      <c r="O535" s="690"/>
      <c r="P535" s="690"/>
      <c r="Q535" s="690"/>
      <c r="R535" s="690"/>
      <c r="S535" s="690"/>
      <c r="T535" s="690"/>
      <c r="U535" s="690"/>
      <c r="V535" s="690"/>
      <c r="W535" s="690"/>
      <c r="X535" s="690"/>
      <c r="Y535" s="690"/>
      <c r="Z535" s="690"/>
      <c r="AA535" s="690"/>
      <c r="AB535" s="690"/>
      <c r="AC535" s="690"/>
      <c r="AD535" s="690"/>
      <c r="AE535" s="690"/>
    </row>
    <row r="536" spans="1:31" ht="15.75" customHeight="1">
      <c r="A536" s="690"/>
      <c r="B536" s="690"/>
      <c r="C536" s="690"/>
      <c r="D536" s="690"/>
      <c r="E536" s="690"/>
      <c r="F536" s="690"/>
      <c r="G536" s="690"/>
      <c r="H536" s="690"/>
      <c r="I536" s="690"/>
      <c r="J536" s="690"/>
      <c r="K536" s="690"/>
      <c r="L536" s="690"/>
      <c r="M536" s="690"/>
      <c r="N536" s="690"/>
      <c r="O536" s="690"/>
      <c r="P536" s="690"/>
      <c r="Q536" s="690"/>
      <c r="R536" s="690"/>
      <c r="S536" s="690"/>
      <c r="T536" s="690"/>
      <c r="U536" s="690"/>
      <c r="V536" s="690"/>
      <c r="W536" s="690"/>
      <c r="X536" s="690"/>
      <c r="Y536" s="690"/>
      <c r="Z536" s="690"/>
      <c r="AA536" s="690"/>
      <c r="AB536" s="690"/>
      <c r="AC536" s="690"/>
      <c r="AD536" s="690"/>
      <c r="AE536" s="690"/>
    </row>
    <row r="537" spans="1:31" ht="15.75" customHeight="1">
      <c r="A537" s="690"/>
      <c r="B537" s="690"/>
      <c r="C537" s="690"/>
      <c r="D537" s="690"/>
      <c r="E537" s="690"/>
      <c r="F537" s="690"/>
      <c r="G537" s="690"/>
      <c r="H537" s="690"/>
      <c r="I537" s="690"/>
      <c r="J537" s="690"/>
      <c r="K537" s="690"/>
      <c r="L537" s="690"/>
      <c r="M537" s="690"/>
      <c r="N537" s="690"/>
      <c r="O537" s="690"/>
      <c r="P537" s="690"/>
      <c r="Q537" s="690"/>
      <c r="R537" s="690"/>
      <c r="S537" s="690"/>
      <c r="T537" s="690"/>
      <c r="U537" s="690"/>
      <c r="V537" s="690"/>
      <c r="W537" s="690"/>
      <c r="X537" s="690"/>
      <c r="Y537" s="690"/>
      <c r="Z537" s="690"/>
      <c r="AA537" s="690"/>
      <c r="AB537" s="690"/>
      <c r="AC537" s="690"/>
      <c r="AD537" s="690"/>
      <c r="AE537" s="690"/>
    </row>
    <row r="538" spans="1:31" ht="15.75" customHeight="1">
      <c r="A538" s="690"/>
      <c r="B538" s="690"/>
      <c r="C538" s="690"/>
      <c r="D538" s="690"/>
      <c r="E538" s="690"/>
      <c r="F538" s="690"/>
      <c r="G538" s="690"/>
      <c r="H538" s="690"/>
      <c r="I538" s="690"/>
      <c r="J538" s="690"/>
      <c r="K538" s="690"/>
      <c r="L538" s="690"/>
      <c r="M538" s="690"/>
      <c r="N538" s="690"/>
      <c r="O538" s="690"/>
      <c r="P538" s="690"/>
      <c r="Q538" s="690"/>
      <c r="R538" s="690"/>
      <c r="S538" s="690"/>
      <c r="T538" s="690"/>
      <c r="U538" s="690"/>
      <c r="V538" s="690"/>
      <c r="W538" s="690"/>
      <c r="X538" s="690"/>
      <c r="Y538" s="690"/>
      <c r="Z538" s="690"/>
      <c r="AA538" s="690"/>
      <c r="AB538" s="690"/>
      <c r="AC538" s="690"/>
      <c r="AD538" s="690"/>
      <c r="AE538" s="690"/>
    </row>
    <row r="539" spans="1:31" ht="15.75" customHeight="1">
      <c r="A539" s="690"/>
      <c r="B539" s="690"/>
      <c r="C539" s="690"/>
      <c r="D539" s="690"/>
      <c r="E539" s="690"/>
      <c r="F539" s="690"/>
      <c r="G539" s="690"/>
      <c r="H539" s="690"/>
      <c r="I539" s="690"/>
      <c r="J539" s="690"/>
      <c r="K539" s="690"/>
      <c r="L539" s="690"/>
      <c r="M539" s="690"/>
      <c r="N539" s="690"/>
      <c r="O539" s="690"/>
      <c r="P539" s="690"/>
      <c r="Q539" s="690"/>
      <c r="R539" s="690"/>
      <c r="S539" s="690"/>
      <c r="T539" s="690"/>
      <c r="U539" s="690"/>
      <c r="V539" s="690"/>
      <c r="W539" s="690"/>
      <c r="X539" s="690"/>
      <c r="Y539" s="690"/>
      <c r="Z539" s="690"/>
      <c r="AA539" s="690"/>
      <c r="AB539" s="690"/>
      <c r="AC539" s="690"/>
      <c r="AD539" s="690"/>
      <c r="AE539" s="690"/>
    </row>
    <row r="540" spans="1:31" ht="15.75" customHeight="1">
      <c r="A540" s="690"/>
      <c r="B540" s="690"/>
      <c r="C540" s="690"/>
      <c r="D540" s="690"/>
      <c r="E540" s="690"/>
      <c r="F540" s="690"/>
      <c r="G540" s="690"/>
      <c r="H540" s="690"/>
      <c r="I540" s="690"/>
      <c r="J540" s="690"/>
      <c r="K540" s="690"/>
      <c r="L540" s="690"/>
      <c r="M540" s="690"/>
      <c r="N540" s="690"/>
      <c r="O540" s="690"/>
      <c r="P540" s="690"/>
      <c r="Q540" s="690"/>
      <c r="R540" s="690"/>
      <c r="S540" s="690"/>
      <c r="T540" s="690"/>
      <c r="U540" s="690"/>
      <c r="V540" s="690"/>
      <c r="W540" s="690"/>
      <c r="X540" s="690"/>
      <c r="Y540" s="690"/>
      <c r="Z540" s="690"/>
      <c r="AA540" s="690"/>
      <c r="AB540" s="690"/>
      <c r="AC540" s="690"/>
      <c r="AD540" s="690"/>
      <c r="AE540" s="690"/>
    </row>
    <row r="541" spans="1:31" ht="15.75" customHeight="1">
      <c r="A541" s="690"/>
      <c r="B541" s="690"/>
      <c r="C541" s="690"/>
      <c r="D541" s="690"/>
      <c r="E541" s="690"/>
      <c r="F541" s="690"/>
      <c r="G541" s="690"/>
      <c r="H541" s="690"/>
      <c r="I541" s="690"/>
      <c r="J541" s="690"/>
      <c r="K541" s="690"/>
      <c r="L541" s="690"/>
      <c r="M541" s="690"/>
      <c r="N541" s="690"/>
      <c r="O541" s="690"/>
      <c r="P541" s="690"/>
      <c r="Q541" s="690"/>
      <c r="R541" s="690"/>
      <c r="S541" s="690"/>
      <c r="T541" s="690"/>
      <c r="U541" s="690"/>
      <c r="V541" s="690"/>
      <c r="W541" s="690"/>
      <c r="X541" s="690"/>
      <c r="Y541" s="690"/>
      <c r="Z541" s="690"/>
      <c r="AA541" s="690"/>
      <c r="AB541" s="690"/>
      <c r="AC541" s="690"/>
      <c r="AD541" s="690"/>
      <c r="AE541" s="690"/>
    </row>
    <row r="542" spans="1:31" ht="15.75" customHeight="1">
      <c r="A542" s="690"/>
      <c r="B542" s="690"/>
      <c r="C542" s="690"/>
      <c r="D542" s="690"/>
      <c r="E542" s="690"/>
      <c r="F542" s="690"/>
      <c r="G542" s="690"/>
      <c r="H542" s="690"/>
      <c r="I542" s="690"/>
      <c r="J542" s="690"/>
      <c r="K542" s="690"/>
      <c r="L542" s="690"/>
      <c r="M542" s="690"/>
      <c r="N542" s="690"/>
      <c r="O542" s="690"/>
      <c r="P542" s="690"/>
      <c r="Q542" s="690"/>
      <c r="R542" s="690"/>
      <c r="S542" s="690"/>
      <c r="T542" s="690"/>
      <c r="U542" s="690"/>
      <c r="V542" s="690"/>
      <c r="W542" s="690"/>
      <c r="X542" s="690"/>
      <c r="Y542" s="690"/>
      <c r="Z542" s="690"/>
      <c r="AA542" s="690"/>
      <c r="AB542" s="690"/>
      <c r="AC542" s="690"/>
      <c r="AD542" s="690"/>
      <c r="AE542" s="690"/>
    </row>
    <row r="543" spans="1:31" ht="15.75" customHeight="1">
      <c r="A543" s="690"/>
      <c r="B543" s="690"/>
      <c r="C543" s="690"/>
      <c r="D543" s="690"/>
      <c r="E543" s="690"/>
      <c r="F543" s="690"/>
      <c r="G543" s="690"/>
      <c r="H543" s="690"/>
      <c r="I543" s="690"/>
      <c r="J543" s="690"/>
      <c r="K543" s="690"/>
      <c r="L543" s="690"/>
      <c r="M543" s="690"/>
      <c r="N543" s="690"/>
      <c r="O543" s="690"/>
      <c r="P543" s="690"/>
      <c r="Q543" s="690"/>
      <c r="R543" s="690"/>
      <c r="S543" s="690"/>
      <c r="T543" s="690"/>
      <c r="U543" s="690"/>
      <c r="V543" s="690"/>
      <c r="W543" s="690"/>
      <c r="X543" s="690"/>
      <c r="Y543" s="690"/>
      <c r="Z543" s="690"/>
      <c r="AA543" s="690"/>
      <c r="AB543" s="690"/>
      <c r="AC543" s="690"/>
      <c r="AD543" s="690"/>
      <c r="AE543" s="690"/>
    </row>
    <row r="544" spans="1:31" ht="15.75" customHeight="1">
      <c r="A544" s="690"/>
      <c r="B544" s="690"/>
      <c r="C544" s="690"/>
      <c r="D544" s="690"/>
      <c r="E544" s="690"/>
      <c r="F544" s="690"/>
      <c r="G544" s="690"/>
      <c r="H544" s="690"/>
      <c r="I544" s="690"/>
      <c r="J544" s="690"/>
      <c r="K544" s="690"/>
      <c r="L544" s="690"/>
      <c r="M544" s="690"/>
      <c r="N544" s="690"/>
      <c r="O544" s="690"/>
      <c r="P544" s="690"/>
      <c r="Q544" s="690"/>
      <c r="R544" s="690"/>
      <c r="S544" s="690"/>
      <c r="T544" s="690"/>
      <c r="U544" s="690"/>
      <c r="V544" s="690"/>
      <c r="W544" s="690"/>
      <c r="X544" s="690"/>
      <c r="Y544" s="690"/>
      <c r="Z544" s="690"/>
      <c r="AA544" s="690"/>
      <c r="AB544" s="690"/>
      <c r="AC544" s="690"/>
      <c r="AD544" s="690"/>
      <c r="AE544" s="690"/>
    </row>
    <row r="545" spans="1:31" ht="15.75" customHeight="1">
      <c r="A545" s="690"/>
      <c r="B545" s="690"/>
      <c r="C545" s="690"/>
      <c r="D545" s="690"/>
      <c r="E545" s="690"/>
      <c r="F545" s="690"/>
      <c r="G545" s="690"/>
      <c r="H545" s="690"/>
      <c r="I545" s="690"/>
      <c r="J545" s="690"/>
      <c r="K545" s="690"/>
      <c r="L545" s="690"/>
      <c r="M545" s="690"/>
      <c r="N545" s="690"/>
      <c r="O545" s="690"/>
      <c r="P545" s="690"/>
      <c r="Q545" s="690"/>
      <c r="R545" s="690"/>
      <c r="S545" s="690"/>
      <c r="T545" s="690"/>
      <c r="U545" s="690"/>
      <c r="V545" s="690"/>
      <c r="W545" s="690"/>
      <c r="X545" s="690"/>
      <c r="Y545" s="690"/>
      <c r="Z545" s="690"/>
      <c r="AA545" s="690"/>
      <c r="AB545" s="690"/>
      <c r="AC545" s="690"/>
      <c r="AD545" s="690"/>
      <c r="AE545" s="690"/>
    </row>
    <row r="546" spans="1:31" ht="15.75" customHeight="1">
      <c r="A546" s="690"/>
      <c r="B546" s="690"/>
      <c r="C546" s="690"/>
      <c r="D546" s="690"/>
      <c r="E546" s="690"/>
      <c r="F546" s="690"/>
      <c r="G546" s="690"/>
      <c r="H546" s="690"/>
      <c r="I546" s="690"/>
      <c r="J546" s="690"/>
      <c r="K546" s="690"/>
      <c r="L546" s="690"/>
      <c r="M546" s="690"/>
      <c r="N546" s="690"/>
      <c r="O546" s="690"/>
      <c r="P546" s="690"/>
      <c r="Q546" s="690"/>
      <c r="R546" s="690"/>
      <c r="S546" s="690"/>
      <c r="T546" s="690"/>
      <c r="U546" s="690"/>
      <c r="V546" s="690"/>
      <c r="W546" s="690"/>
      <c r="X546" s="690"/>
      <c r="Y546" s="690"/>
      <c r="Z546" s="690"/>
      <c r="AA546" s="690"/>
      <c r="AB546" s="690"/>
      <c r="AC546" s="690"/>
      <c r="AD546" s="690"/>
      <c r="AE546" s="690"/>
    </row>
    <row r="547" spans="1:31" ht="15.75" customHeight="1">
      <c r="A547" s="690"/>
      <c r="B547" s="690"/>
      <c r="C547" s="690"/>
      <c r="D547" s="690"/>
      <c r="E547" s="690"/>
      <c r="F547" s="690"/>
      <c r="G547" s="690"/>
      <c r="H547" s="690"/>
      <c r="I547" s="690"/>
      <c r="J547" s="690"/>
      <c r="K547" s="690"/>
      <c r="L547" s="690"/>
      <c r="M547" s="690"/>
      <c r="N547" s="690"/>
      <c r="O547" s="690"/>
      <c r="P547" s="690"/>
      <c r="Q547" s="690"/>
      <c r="R547" s="690"/>
      <c r="S547" s="690"/>
      <c r="T547" s="690"/>
      <c r="U547" s="690"/>
      <c r="V547" s="690"/>
      <c r="W547" s="690"/>
      <c r="X547" s="690"/>
      <c r="Y547" s="690"/>
      <c r="Z547" s="690"/>
      <c r="AA547" s="690"/>
      <c r="AB547" s="690"/>
      <c r="AC547" s="690"/>
      <c r="AD547" s="690"/>
      <c r="AE547" s="690"/>
    </row>
    <row r="548" spans="1:31" ht="15.75" customHeight="1">
      <c r="A548" s="690"/>
      <c r="B548" s="690"/>
      <c r="C548" s="690"/>
      <c r="D548" s="690"/>
      <c r="E548" s="690"/>
      <c r="F548" s="690"/>
      <c r="G548" s="690"/>
      <c r="H548" s="690"/>
      <c r="I548" s="690"/>
      <c r="J548" s="690"/>
      <c r="K548" s="690"/>
      <c r="L548" s="690"/>
      <c r="M548" s="690"/>
      <c r="N548" s="690"/>
      <c r="O548" s="690"/>
      <c r="P548" s="690"/>
      <c r="Q548" s="690"/>
      <c r="R548" s="690"/>
      <c r="S548" s="690"/>
      <c r="T548" s="690"/>
      <c r="U548" s="690"/>
      <c r="V548" s="690"/>
      <c r="W548" s="690"/>
      <c r="X548" s="690"/>
      <c r="Y548" s="690"/>
      <c r="Z548" s="690"/>
      <c r="AA548" s="690"/>
      <c r="AB548" s="690"/>
      <c r="AC548" s="690"/>
      <c r="AD548" s="690"/>
      <c r="AE548" s="690"/>
    </row>
    <row r="549" spans="1:31" ht="15.75" customHeight="1">
      <c r="A549" s="690"/>
      <c r="B549" s="690"/>
      <c r="C549" s="690"/>
      <c r="D549" s="690"/>
      <c r="E549" s="690"/>
      <c r="F549" s="690"/>
      <c r="G549" s="690"/>
      <c r="H549" s="690"/>
      <c r="I549" s="690"/>
      <c r="J549" s="690"/>
      <c r="K549" s="690"/>
      <c r="L549" s="690"/>
      <c r="M549" s="690"/>
      <c r="N549" s="690"/>
      <c r="O549" s="690"/>
      <c r="P549" s="690"/>
      <c r="Q549" s="690"/>
      <c r="R549" s="690"/>
      <c r="S549" s="690"/>
      <c r="T549" s="690"/>
      <c r="U549" s="690"/>
      <c r="V549" s="690"/>
      <c r="W549" s="690"/>
      <c r="X549" s="690"/>
      <c r="Y549" s="690"/>
      <c r="Z549" s="690"/>
      <c r="AA549" s="690"/>
      <c r="AB549" s="690"/>
      <c r="AC549" s="690"/>
      <c r="AD549" s="690"/>
      <c r="AE549" s="690"/>
    </row>
    <row r="550" spans="1:31" ht="15.75" customHeight="1">
      <c r="A550" s="690"/>
      <c r="B550" s="690"/>
      <c r="C550" s="690"/>
      <c r="D550" s="690"/>
      <c r="E550" s="690"/>
      <c r="F550" s="690"/>
      <c r="G550" s="690"/>
      <c r="H550" s="690"/>
      <c r="I550" s="690"/>
      <c r="J550" s="690"/>
      <c r="K550" s="690"/>
      <c r="L550" s="690"/>
      <c r="M550" s="690"/>
      <c r="N550" s="690"/>
      <c r="O550" s="690"/>
      <c r="P550" s="690"/>
      <c r="Q550" s="690"/>
      <c r="R550" s="690"/>
      <c r="S550" s="690"/>
      <c r="T550" s="690"/>
      <c r="U550" s="690"/>
      <c r="V550" s="690"/>
      <c r="W550" s="690"/>
      <c r="X550" s="690"/>
      <c r="Y550" s="690"/>
      <c r="Z550" s="690"/>
      <c r="AA550" s="690"/>
      <c r="AB550" s="690"/>
      <c r="AC550" s="690"/>
      <c r="AD550" s="690"/>
      <c r="AE550" s="690"/>
    </row>
    <row r="551" spans="1:31" ht="15.75" customHeight="1">
      <c r="A551" s="690"/>
      <c r="B551" s="690"/>
      <c r="C551" s="690"/>
      <c r="D551" s="690"/>
      <c r="E551" s="690"/>
      <c r="F551" s="690"/>
      <c r="G551" s="690"/>
      <c r="H551" s="690"/>
      <c r="I551" s="690"/>
      <c r="J551" s="690"/>
      <c r="K551" s="690"/>
      <c r="L551" s="690"/>
      <c r="M551" s="690"/>
      <c r="N551" s="690"/>
      <c r="O551" s="690"/>
      <c r="P551" s="690"/>
      <c r="Q551" s="690"/>
      <c r="R551" s="690"/>
      <c r="S551" s="690"/>
      <c r="T551" s="690"/>
      <c r="U551" s="690"/>
      <c r="V551" s="690"/>
      <c r="W551" s="690"/>
      <c r="X551" s="690"/>
      <c r="Y551" s="690"/>
      <c r="Z551" s="690"/>
      <c r="AA551" s="690"/>
      <c r="AB551" s="690"/>
      <c r="AC551" s="690"/>
      <c r="AD551" s="690"/>
      <c r="AE551" s="690"/>
    </row>
    <row r="552" spans="1:31" ht="15.75" customHeight="1">
      <c r="A552" s="690"/>
      <c r="B552" s="690"/>
      <c r="C552" s="690"/>
      <c r="D552" s="690"/>
      <c r="E552" s="690"/>
      <c r="F552" s="690"/>
      <c r="G552" s="690"/>
      <c r="H552" s="690"/>
      <c r="I552" s="690"/>
      <c r="J552" s="690"/>
      <c r="K552" s="690"/>
      <c r="L552" s="690"/>
      <c r="M552" s="690"/>
      <c r="N552" s="690"/>
      <c r="O552" s="690"/>
      <c r="P552" s="690"/>
      <c r="Q552" s="690"/>
      <c r="R552" s="690"/>
      <c r="S552" s="690"/>
      <c r="T552" s="690"/>
      <c r="U552" s="690"/>
      <c r="V552" s="690"/>
      <c r="W552" s="690"/>
      <c r="X552" s="690"/>
      <c r="Y552" s="690"/>
      <c r="Z552" s="690"/>
      <c r="AA552" s="690"/>
      <c r="AB552" s="690"/>
      <c r="AC552" s="690"/>
      <c r="AD552" s="690"/>
      <c r="AE552" s="690"/>
    </row>
    <row r="553" spans="1:31" ht="15.75" customHeight="1">
      <c r="A553" s="690"/>
      <c r="B553" s="690"/>
      <c r="C553" s="690"/>
      <c r="D553" s="690"/>
      <c r="E553" s="690"/>
      <c r="F553" s="690"/>
      <c r="G553" s="690"/>
      <c r="H553" s="690"/>
      <c r="I553" s="690"/>
      <c r="J553" s="690"/>
      <c r="K553" s="690"/>
      <c r="L553" s="690"/>
      <c r="M553" s="690"/>
      <c r="N553" s="690"/>
      <c r="O553" s="690"/>
      <c r="P553" s="690"/>
      <c r="Q553" s="690"/>
      <c r="R553" s="690"/>
      <c r="S553" s="690"/>
      <c r="T553" s="690"/>
      <c r="U553" s="690"/>
      <c r="V553" s="690"/>
      <c r="W553" s="690"/>
      <c r="X553" s="690"/>
      <c r="Y553" s="690"/>
      <c r="Z553" s="690"/>
      <c r="AA553" s="690"/>
      <c r="AB553" s="690"/>
      <c r="AC553" s="690"/>
      <c r="AD553" s="690"/>
      <c r="AE553" s="690"/>
    </row>
    <row r="554" spans="1:31" ht="15.75" customHeight="1">
      <c r="A554" s="690"/>
      <c r="B554" s="690"/>
      <c r="C554" s="690"/>
      <c r="D554" s="690"/>
      <c r="E554" s="690"/>
      <c r="F554" s="690"/>
      <c r="G554" s="690"/>
      <c r="H554" s="690"/>
      <c r="I554" s="690"/>
      <c r="J554" s="690"/>
      <c r="K554" s="690"/>
      <c r="L554" s="690"/>
      <c r="M554" s="690"/>
      <c r="N554" s="690"/>
      <c r="O554" s="690"/>
      <c r="P554" s="690"/>
      <c r="Q554" s="690"/>
      <c r="R554" s="690"/>
      <c r="S554" s="690"/>
      <c r="T554" s="690"/>
      <c r="U554" s="690"/>
      <c r="V554" s="690"/>
      <c r="W554" s="690"/>
      <c r="X554" s="690"/>
      <c r="Y554" s="690"/>
      <c r="Z554" s="690"/>
      <c r="AA554" s="690"/>
      <c r="AB554" s="690"/>
      <c r="AC554" s="690"/>
      <c r="AD554" s="690"/>
      <c r="AE554" s="690"/>
    </row>
    <row r="555" spans="1:31" ht="15.75" customHeight="1">
      <c r="A555" s="690"/>
      <c r="B555" s="690"/>
      <c r="C555" s="690"/>
      <c r="D555" s="690"/>
      <c r="E555" s="690"/>
      <c r="F555" s="690"/>
      <c r="G555" s="690"/>
      <c r="H555" s="690"/>
      <c r="I555" s="690"/>
      <c r="J555" s="690"/>
      <c r="K555" s="690"/>
      <c r="L555" s="690"/>
      <c r="M555" s="690"/>
      <c r="N555" s="690"/>
      <c r="O555" s="690"/>
      <c r="P555" s="690"/>
      <c r="Q555" s="690"/>
      <c r="R555" s="690"/>
      <c r="S555" s="690"/>
      <c r="T555" s="690"/>
      <c r="U555" s="690"/>
      <c r="V555" s="690"/>
      <c r="W555" s="690"/>
      <c r="X555" s="690"/>
      <c r="Y555" s="690"/>
      <c r="Z555" s="690"/>
      <c r="AA555" s="690"/>
      <c r="AB555" s="690"/>
      <c r="AC555" s="690"/>
      <c r="AD555" s="690"/>
      <c r="AE555" s="690"/>
    </row>
    <row r="556" spans="1:31" ht="15.75" customHeight="1">
      <c r="A556" s="690"/>
      <c r="B556" s="690"/>
      <c r="C556" s="690"/>
      <c r="D556" s="690"/>
      <c r="E556" s="690"/>
      <c r="F556" s="690"/>
      <c r="G556" s="690"/>
      <c r="H556" s="690"/>
      <c r="I556" s="690"/>
      <c r="J556" s="690"/>
      <c r="K556" s="690"/>
      <c r="L556" s="690"/>
      <c r="M556" s="690"/>
      <c r="N556" s="690"/>
      <c r="O556" s="690"/>
      <c r="P556" s="690"/>
      <c r="Q556" s="690"/>
      <c r="R556" s="690"/>
      <c r="S556" s="690"/>
      <c r="T556" s="690"/>
      <c r="U556" s="690"/>
      <c r="V556" s="690"/>
      <c r="W556" s="690"/>
      <c r="X556" s="690"/>
      <c r="Y556" s="690"/>
      <c r="Z556" s="690"/>
      <c r="AA556" s="690"/>
      <c r="AB556" s="690"/>
      <c r="AC556" s="690"/>
      <c r="AD556" s="690"/>
      <c r="AE556" s="690"/>
    </row>
    <row r="557" spans="1:31" ht="15.75" customHeight="1">
      <c r="A557" s="690"/>
      <c r="B557" s="690"/>
      <c r="C557" s="690"/>
      <c r="D557" s="690"/>
      <c r="E557" s="690"/>
      <c r="F557" s="690"/>
      <c r="G557" s="690"/>
      <c r="H557" s="690"/>
      <c r="I557" s="690"/>
      <c r="J557" s="690"/>
      <c r="K557" s="690"/>
      <c r="L557" s="690"/>
      <c r="M557" s="690"/>
      <c r="N557" s="690"/>
      <c r="O557" s="690"/>
      <c r="P557" s="690"/>
      <c r="Q557" s="690"/>
      <c r="R557" s="690"/>
      <c r="S557" s="690"/>
      <c r="T557" s="690"/>
      <c r="U557" s="690"/>
      <c r="V557" s="690"/>
      <c r="W557" s="690"/>
      <c r="X557" s="690"/>
      <c r="Y557" s="690"/>
      <c r="Z557" s="690"/>
      <c r="AA557" s="690"/>
      <c r="AB557" s="690"/>
      <c r="AC557" s="690"/>
      <c r="AD557" s="690"/>
      <c r="AE557" s="690"/>
    </row>
    <row r="558" spans="1:31" ht="15.75" customHeight="1">
      <c r="A558" s="690"/>
      <c r="B558" s="690"/>
      <c r="C558" s="690"/>
      <c r="D558" s="690"/>
      <c r="E558" s="690"/>
      <c r="F558" s="690"/>
      <c r="G558" s="690"/>
      <c r="H558" s="690"/>
      <c r="I558" s="690"/>
      <c r="J558" s="690"/>
      <c r="K558" s="690"/>
      <c r="L558" s="690"/>
      <c r="M558" s="690"/>
      <c r="N558" s="690"/>
      <c r="O558" s="690"/>
      <c r="P558" s="690"/>
      <c r="Q558" s="690"/>
      <c r="R558" s="690"/>
      <c r="S558" s="690"/>
      <c r="T558" s="690"/>
      <c r="U558" s="690"/>
      <c r="V558" s="690"/>
      <c r="W558" s="690"/>
      <c r="X558" s="690"/>
      <c r="Y558" s="690"/>
      <c r="Z558" s="690"/>
      <c r="AA558" s="690"/>
      <c r="AB558" s="690"/>
      <c r="AC558" s="690"/>
      <c r="AD558" s="690"/>
      <c r="AE558" s="690"/>
    </row>
    <row r="559" spans="1:31" ht="15.75" customHeight="1">
      <c r="A559" s="690"/>
      <c r="B559" s="690"/>
      <c r="C559" s="690"/>
      <c r="D559" s="690"/>
      <c r="E559" s="690"/>
      <c r="F559" s="690"/>
      <c r="G559" s="690"/>
      <c r="H559" s="690"/>
      <c r="I559" s="690"/>
      <c r="J559" s="690"/>
      <c r="K559" s="690"/>
      <c r="L559" s="690"/>
      <c r="M559" s="690"/>
      <c r="N559" s="690"/>
      <c r="O559" s="690"/>
      <c r="P559" s="690"/>
      <c r="Q559" s="690"/>
      <c r="R559" s="690"/>
      <c r="S559" s="690"/>
      <c r="T559" s="690"/>
      <c r="U559" s="690"/>
      <c r="V559" s="690"/>
      <c r="W559" s="690"/>
      <c r="X559" s="690"/>
      <c r="Y559" s="690"/>
      <c r="Z559" s="690"/>
      <c r="AA559" s="690"/>
      <c r="AB559" s="690"/>
      <c r="AC559" s="690"/>
      <c r="AD559" s="690"/>
      <c r="AE559" s="690"/>
    </row>
    <row r="560" spans="1:31" ht="15.75" customHeight="1">
      <c r="A560" s="690"/>
      <c r="B560" s="690"/>
      <c r="C560" s="690"/>
      <c r="D560" s="690"/>
      <c r="E560" s="690"/>
      <c r="F560" s="690"/>
      <c r="G560" s="690"/>
      <c r="H560" s="690"/>
      <c r="I560" s="690"/>
      <c r="J560" s="690"/>
      <c r="K560" s="690"/>
      <c r="L560" s="690"/>
      <c r="M560" s="690"/>
      <c r="N560" s="690"/>
      <c r="O560" s="690"/>
      <c r="P560" s="690"/>
      <c r="Q560" s="690"/>
      <c r="R560" s="690"/>
      <c r="S560" s="690"/>
      <c r="T560" s="690"/>
      <c r="U560" s="690"/>
      <c r="V560" s="690"/>
      <c r="W560" s="690"/>
      <c r="X560" s="690"/>
      <c r="Y560" s="690"/>
      <c r="Z560" s="690"/>
      <c r="AA560" s="690"/>
      <c r="AB560" s="690"/>
      <c r="AC560" s="690"/>
      <c r="AD560" s="690"/>
      <c r="AE560" s="690"/>
    </row>
    <row r="561" spans="1:31" ht="15.75" customHeight="1">
      <c r="A561" s="690"/>
      <c r="B561" s="690"/>
      <c r="C561" s="690"/>
      <c r="D561" s="690"/>
      <c r="E561" s="690"/>
      <c r="F561" s="690"/>
      <c r="G561" s="690"/>
      <c r="H561" s="690"/>
      <c r="I561" s="690"/>
      <c r="J561" s="690"/>
      <c r="K561" s="690"/>
      <c r="L561" s="690"/>
      <c r="M561" s="690"/>
      <c r="N561" s="690"/>
      <c r="O561" s="690"/>
      <c r="P561" s="690"/>
      <c r="Q561" s="690"/>
      <c r="R561" s="690"/>
      <c r="S561" s="690"/>
      <c r="T561" s="690"/>
      <c r="U561" s="690"/>
      <c r="V561" s="690"/>
      <c r="W561" s="690"/>
      <c r="X561" s="690"/>
      <c r="Y561" s="690"/>
      <c r="Z561" s="690"/>
      <c r="AA561" s="690"/>
      <c r="AB561" s="690"/>
      <c r="AC561" s="690"/>
      <c r="AD561" s="690"/>
      <c r="AE561" s="690"/>
    </row>
    <row r="562" spans="1:31" ht="15.75" customHeight="1">
      <c r="A562" s="690"/>
      <c r="B562" s="690"/>
      <c r="C562" s="690"/>
      <c r="D562" s="690"/>
      <c r="E562" s="690"/>
      <c r="F562" s="690"/>
      <c r="G562" s="690"/>
      <c r="H562" s="690"/>
      <c r="I562" s="690"/>
      <c r="J562" s="690"/>
      <c r="K562" s="690"/>
      <c r="L562" s="690"/>
      <c r="M562" s="690"/>
      <c r="N562" s="690"/>
      <c r="O562" s="690"/>
      <c r="P562" s="690"/>
      <c r="Q562" s="690"/>
      <c r="R562" s="690"/>
      <c r="S562" s="690"/>
      <c r="T562" s="690"/>
      <c r="U562" s="690"/>
      <c r="V562" s="690"/>
      <c r="W562" s="690"/>
      <c r="X562" s="690"/>
      <c r="Y562" s="690"/>
      <c r="Z562" s="690"/>
      <c r="AA562" s="690"/>
      <c r="AB562" s="690"/>
      <c r="AC562" s="690"/>
      <c r="AD562" s="690"/>
      <c r="AE562" s="690"/>
    </row>
    <row r="563" spans="1:31" ht="15.75" customHeight="1">
      <c r="A563" s="690"/>
      <c r="B563" s="690"/>
      <c r="C563" s="690"/>
      <c r="D563" s="690"/>
      <c r="E563" s="690"/>
      <c r="F563" s="690"/>
      <c r="G563" s="690"/>
      <c r="H563" s="690"/>
      <c r="I563" s="690"/>
      <c r="J563" s="690"/>
      <c r="K563" s="690"/>
      <c r="L563" s="690"/>
      <c r="M563" s="690"/>
      <c r="N563" s="690"/>
      <c r="O563" s="690"/>
      <c r="P563" s="690"/>
      <c r="Q563" s="690"/>
      <c r="R563" s="690"/>
      <c r="S563" s="690"/>
      <c r="T563" s="690"/>
      <c r="U563" s="690"/>
      <c r="V563" s="690"/>
      <c r="W563" s="690"/>
      <c r="X563" s="690"/>
      <c r="Y563" s="690"/>
      <c r="Z563" s="690"/>
      <c r="AA563" s="690"/>
      <c r="AB563" s="690"/>
      <c r="AC563" s="690"/>
      <c r="AD563" s="690"/>
      <c r="AE563" s="690"/>
    </row>
    <row r="564" spans="1:31" ht="15.75" customHeight="1">
      <c r="A564" s="690"/>
      <c r="B564" s="690"/>
      <c r="C564" s="690"/>
      <c r="D564" s="690"/>
      <c r="E564" s="690"/>
      <c r="F564" s="690"/>
      <c r="G564" s="690"/>
      <c r="H564" s="690"/>
      <c r="I564" s="690"/>
      <c r="J564" s="690"/>
      <c r="K564" s="690"/>
      <c r="L564" s="690"/>
      <c r="M564" s="690"/>
      <c r="N564" s="690"/>
      <c r="O564" s="690"/>
      <c r="P564" s="690"/>
      <c r="Q564" s="690"/>
      <c r="R564" s="690"/>
      <c r="S564" s="690"/>
      <c r="T564" s="690"/>
      <c r="U564" s="690"/>
      <c r="V564" s="690"/>
      <c r="W564" s="690"/>
      <c r="X564" s="690"/>
      <c r="Y564" s="690"/>
      <c r="Z564" s="690"/>
      <c r="AA564" s="690"/>
      <c r="AB564" s="690"/>
      <c r="AC564" s="690"/>
      <c r="AD564" s="690"/>
      <c r="AE564" s="690"/>
    </row>
    <row r="565" spans="1:31" ht="15.75" customHeight="1">
      <c r="A565" s="690"/>
      <c r="B565" s="690"/>
      <c r="C565" s="690"/>
      <c r="D565" s="690"/>
      <c r="E565" s="690"/>
      <c r="F565" s="690"/>
      <c r="G565" s="690"/>
      <c r="H565" s="690"/>
      <c r="I565" s="690"/>
      <c r="J565" s="690"/>
      <c r="K565" s="690"/>
      <c r="L565" s="690"/>
      <c r="M565" s="690"/>
      <c r="N565" s="690"/>
      <c r="O565" s="690"/>
      <c r="P565" s="690"/>
      <c r="Q565" s="690"/>
      <c r="R565" s="690"/>
      <c r="S565" s="690"/>
      <c r="T565" s="690"/>
      <c r="U565" s="690"/>
      <c r="V565" s="690"/>
      <c r="W565" s="690"/>
      <c r="X565" s="690"/>
      <c r="Y565" s="690"/>
      <c r="Z565" s="690"/>
      <c r="AA565" s="690"/>
      <c r="AB565" s="690"/>
      <c r="AC565" s="690"/>
      <c r="AD565" s="690"/>
      <c r="AE565" s="690"/>
    </row>
    <row r="566" spans="1:31" ht="15.75" customHeight="1">
      <c r="A566" s="690"/>
      <c r="B566" s="690"/>
      <c r="C566" s="690"/>
      <c r="D566" s="690"/>
      <c r="E566" s="690"/>
      <c r="F566" s="690"/>
      <c r="G566" s="690"/>
      <c r="H566" s="690"/>
      <c r="I566" s="690"/>
      <c r="J566" s="690"/>
      <c r="K566" s="690"/>
      <c r="L566" s="690"/>
      <c r="M566" s="690"/>
      <c r="N566" s="690"/>
      <c r="O566" s="690"/>
      <c r="P566" s="690"/>
      <c r="Q566" s="690"/>
      <c r="R566" s="690"/>
      <c r="S566" s="690"/>
      <c r="T566" s="690"/>
      <c r="U566" s="690"/>
      <c r="V566" s="690"/>
      <c r="W566" s="690"/>
      <c r="X566" s="690"/>
      <c r="Y566" s="690"/>
      <c r="Z566" s="690"/>
      <c r="AA566" s="690"/>
      <c r="AB566" s="690"/>
      <c r="AC566" s="690"/>
      <c r="AD566" s="690"/>
      <c r="AE566" s="690"/>
    </row>
    <row r="567" spans="1:31" ht="15.75" customHeight="1">
      <c r="A567" s="690"/>
      <c r="B567" s="690"/>
      <c r="C567" s="690"/>
      <c r="D567" s="690"/>
      <c r="E567" s="690"/>
      <c r="F567" s="690"/>
      <c r="G567" s="690"/>
      <c r="H567" s="690"/>
      <c r="I567" s="690"/>
      <c r="J567" s="690"/>
      <c r="K567" s="690"/>
      <c r="L567" s="690"/>
      <c r="M567" s="690"/>
      <c r="N567" s="690"/>
      <c r="O567" s="690"/>
      <c r="P567" s="690"/>
      <c r="Q567" s="690"/>
      <c r="R567" s="690"/>
      <c r="S567" s="690"/>
      <c r="T567" s="690"/>
      <c r="U567" s="690"/>
      <c r="V567" s="690"/>
      <c r="W567" s="690"/>
      <c r="X567" s="690"/>
      <c r="Y567" s="690"/>
      <c r="Z567" s="690"/>
      <c r="AA567" s="690"/>
      <c r="AB567" s="690"/>
      <c r="AC567" s="690"/>
      <c r="AD567" s="690"/>
      <c r="AE567" s="690"/>
    </row>
    <row r="568" spans="1:31" ht="15.75" customHeight="1">
      <c r="A568" s="690"/>
      <c r="B568" s="690"/>
      <c r="C568" s="690"/>
      <c r="D568" s="690"/>
      <c r="E568" s="690"/>
      <c r="F568" s="690"/>
      <c r="G568" s="690"/>
      <c r="H568" s="690"/>
      <c r="I568" s="690"/>
      <c r="J568" s="690"/>
      <c r="K568" s="690"/>
      <c r="L568" s="690"/>
      <c r="M568" s="690"/>
      <c r="N568" s="690"/>
      <c r="O568" s="690"/>
      <c r="P568" s="690"/>
      <c r="Q568" s="690"/>
      <c r="R568" s="690"/>
      <c r="S568" s="690"/>
      <c r="T568" s="690"/>
      <c r="U568" s="690"/>
      <c r="V568" s="690"/>
      <c r="W568" s="690"/>
      <c r="X568" s="690"/>
      <c r="Y568" s="690"/>
      <c r="Z568" s="690"/>
      <c r="AA568" s="690"/>
      <c r="AB568" s="690"/>
      <c r="AC568" s="690"/>
      <c r="AD568" s="690"/>
      <c r="AE568" s="690"/>
    </row>
    <row r="569" spans="1:31" ht="15.75" customHeight="1">
      <c r="A569" s="690"/>
      <c r="B569" s="690"/>
      <c r="C569" s="690"/>
      <c r="D569" s="690"/>
      <c r="E569" s="690"/>
      <c r="F569" s="690"/>
      <c r="G569" s="690"/>
      <c r="H569" s="690"/>
      <c r="I569" s="690"/>
      <c r="J569" s="690"/>
      <c r="K569" s="690"/>
      <c r="L569" s="690"/>
      <c r="M569" s="690"/>
      <c r="N569" s="690"/>
      <c r="O569" s="690"/>
      <c r="P569" s="690"/>
      <c r="Q569" s="690"/>
      <c r="R569" s="690"/>
      <c r="S569" s="690"/>
      <c r="T569" s="690"/>
      <c r="U569" s="690"/>
      <c r="V569" s="690"/>
      <c r="W569" s="690"/>
      <c r="X569" s="690"/>
      <c r="Y569" s="690"/>
      <c r="Z569" s="690"/>
      <c r="AA569" s="690"/>
      <c r="AB569" s="690"/>
      <c r="AC569" s="690"/>
      <c r="AD569" s="690"/>
      <c r="AE569" s="690"/>
    </row>
    <row r="570" spans="1:31" ht="15.75" customHeight="1">
      <c r="A570" s="690"/>
      <c r="B570" s="690"/>
      <c r="C570" s="690"/>
      <c r="D570" s="690"/>
      <c r="E570" s="690"/>
      <c r="F570" s="690"/>
      <c r="G570" s="690"/>
      <c r="H570" s="690"/>
      <c r="I570" s="690"/>
      <c r="J570" s="690"/>
      <c r="K570" s="690"/>
      <c r="L570" s="690"/>
      <c r="M570" s="690"/>
      <c r="N570" s="690"/>
      <c r="O570" s="690"/>
      <c r="P570" s="690"/>
      <c r="Q570" s="690"/>
      <c r="R570" s="690"/>
      <c r="S570" s="690"/>
      <c r="T570" s="690"/>
      <c r="U570" s="690"/>
      <c r="V570" s="690"/>
      <c r="W570" s="690"/>
      <c r="X570" s="690"/>
      <c r="Y570" s="690"/>
      <c r="Z570" s="690"/>
      <c r="AA570" s="690"/>
      <c r="AB570" s="690"/>
      <c r="AC570" s="690"/>
      <c r="AD570" s="690"/>
      <c r="AE570" s="690"/>
    </row>
    <row r="571" spans="1:31" ht="15.75" customHeight="1">
      <c r="A571" s="690"/>
      <c r="B571" s="690"/>
      <c r="C571" s="690"/>
      <c r="D571" s="690"/>
      <c r="E571" s="690"/>
      <c r="F571" s="690"/>
      <c r="G571" s="690"/>
      <c r="H571" s="690"/>
      <c r="I571" s="690"/>
      <c r="J571" s="690"/>
      <c r="K571" s="690"/>
      <c r="L571" s="690"/>
      <c r="M571" s="690"/>
      <c r="N571" s="690"/>
      <c r="O571" s="690"/>
      <c r="P571" s="690"/>
      <c r="Q571" s="690"/>
      <c r="R571" s="690"/>
      <c r="S571" s="690"/>
      <c r="T571" s="690"/>
      <c r="U571" s="690"/>
      <c r="V571" s="690"/>
      <c r="W571" s="690"/>
      <c r="X571" s="690"/>
      <c r="Y571" s="690"/>
      <c r="Z571" s="690"/>
      <c r="AA571" s="690"/>
      <c r="AB571" s="690"/>
      <c r="AC571" s="690"/>
      <c r="AD571" s="690"/>
      <c r="AE571" s="690"/>
    </row>
    <row r="572" spans="1:31" ht="15.75" customHeight="1">
      <c r="A572" s="690"/>
      <c r="B572" s="690"/>
      <c r="C572" s="690"/>
      <c r="D572" s="690"/>
      <c r="E572" s="690"/>
      <c r="F572" s="690"/>
      <c r="G572" s="690"/>
      <c r="H572" s="690"/>
      <c r="I572" s="690"/>
      <c r="J572" s="690"/>
      <c r="K572" s="690"/>
      <c r="L572" s="690"/>
      <c r="M572" s="690"/>
      <c r="N572" s="690"/>
      <c r="O572" s="690"/>
      <c r="P572" s="690"/>
      <c r="Q572" s="690"/>
      <c r="R572" s="690"/>
      <c r="S572" s="690"/>
      <c r="T572" s="690"/>
      <c r="U572" s="690"/>
      <c r="V572" s="690"/>
      <c r="W572" s="690"/>
      <c r="X572" s="690"/>
      <c r="Y572" s="690"/>
      <c r="Z572" s="690"/>
      <c r="AA572" s="690"/>
      <c r="AB572" s="690"/>
      <c r="AC572" s="690"/>
      <c r="AD572" s="690"/>
      <c r="AE572" s="690"/>
    </row>
    <row r="573" spans="1:31" ht="15.75" customHeight="1">
      <c r="A573" s="690"/>
      <c r="B573" s="690"/>
      <c r="C573" s="690"/>
      <c r="D573" s="690"/>
      <c r="E573" s="690"/>
      <c r="F573" s="690"/>
      <c r="G573" s="690"/>
      <c r="H573" s="690"/>
      <c r="I573" s="690"/>
      <c r="J573" s="690"/>
      <c r="K573" s="690"/>
      <c r="L573" s="690"/>
      <c r="M573" s="690"/>
      <c r="N573" s="690"/>
      <c r="O573" s="690"/>
      <c r="P573" s="690"/>
      <c r="Q573" s="690"/>
      <c r="R573" s="690"/>
      <c r="S573" s="690"/>
      <c r="T573" s="690"/>
      <c r="U573" s="690"/>
      <c r="V573" s="690"/>
      <c r="W573" s="690"/>
      <c r="X573" s="690"/>
      <c r="Y573" s="690"/>
      <c r="Z573" s="690"/>
      <c r="AA573" s="690"/>
      <c r="AB573" s="690"/>
      <c r="AC573" s="690"/>
      <c r="AD573" s="690"/>
      <c r="AE573" s="690"/>
    </row>
    <row r="574" spans="1:31" ht="15.75" customHeight="1">
      <c r="A574" s="690"/>
      <c r="B574" s="690"/>
      <c r="C574" s="690"/>
      <c r="D574" s="690"/>
      <c r="E574" s="690"/>
      <c r="F574" s="690"/>
      <c r="G574" s="690"/>
      <c r="H574" s="690"/>
      <c r="I574" s="690"/>
      <c r="J574" s="690"/>
      <c r="K574" s="690"/>
      <c r="L574" s="690"/>
      <c r="M574" s="690"/>
      <c r="N574" s="690"/>
      <c r="O574" s="690"/>
      <c r="P574" s="690"/>
      <c r="Q574" s="690"/>
      <c r="R574" s="690"/>
      <c r="S574" s="690"/>
      <c r="T574" s="690"/>
      <c r="U574" s="690"/>
      <c r="V574" s="690"/>
      <c r="W574" s="690"/>
      <c r="X574" s="690"/>
      <c r="Y574" s="690"/>
      <c r="Z574" s="690"/>
      <c r="AA574" s="690"/>
      <c r="AB574" s="690"/>
      <c r="AC574" s="690"/>
      <c r="AD574" s="690"/>
      <c r="AE574" s="690"/>
    </row>
    <row r="575" spans="1:31" ht="15.75" customHeight="1">
      <c r="A575" s="690"/>
      <c r="B575" s="690"/>
      <c r="C575" s="690"/>
      <c r="D575" s="690"/>
      <c r="E575" s="690"/>
      <c r="F575" s="690"/>
      <c r="G575" s="690"/>
      <c r="H575" s="690"/>
      <c r="I575" s="690"/>
      <c r="J575" s="690"/>
      <c r="K575" s="690"/>
      <c r="L575" s="690"/>
      <c r="M575" s="690"/>
      <c r="N575" s="690"/>
      <c r="O575" s="690"/>
      <c r="P575" s="690"/>
      <c r="Q575" s="690"/>
      <c r="R575" s="690"/>
      <c r="S575" s="690"/>
      <c r="T575" s="690"/>
      <c r="U575" s="690"/>
      <c r="V575" s="690"/>
      <c r="W575" s="690"/>
      <c r="X575" s="690"/>
      <c r="Y575" s="690"/>
      <c r="Z575" s="690"/>
      <c r="AA575" s="690"/>
      <c r="AB575" s="690"/>
      <c r="AC575" s="690"/>
      <c r="AD575" s="690"/>
      <c r="AE575" s="690"/>
    </row>
    <row r="576" spans="1:31" ht="15.75" customHeight="1">
      <c r="A576" s="690"/>
      <c r="B576" s="690"/>
      <c r="C576" s="690"/>
      <c r="D576" s="690"/>
      <c r="E576" s="690"/>
      <c r="F576" s="690"/>
      <c r="G576" s="690"/>
      <c r="H576" s="690"/>
      <c r="I576" s="690"/>
      <c r="J576" s="690"/>
      <c r="K576" s="690"/>
      <c r="L576" s="690"/>
      <c r="M576" s="690"/>
      <c r="N576" s="690"/>
      <c r="O576" s="690"/>
      <c r="P576" s="690"/>
      <c r="Q576" s="690"/>
      <c r="R576" s="690"/>
      <c r="S576" s="690"/>
      <c r="T576" s="690"/>
      <c r="U576" s="690"/>
      <c r="V576" s="690"/>
      <c r="W576" s="690"/>
      <c r="X576" s="690"/>
      <c r="Y576" s="690"/>
      <c r="Z576" s="690"/>
      <c r="AA576" s="690"/>
      <c r="AB576" s="690"/>
      <c r="AC576" s="690"/>
      <c r="AD576" s="690"/>
      <c r="AE576" s="690"/>
    </row>
    <row r="577" spans="1:31" ht="15.75" customHeight="1">
      <c r="A577" s="690"/>
      <c r="B577" s="690"/>
      <c r="C577" s="690"/>
      <c r="D577" s="690"/>
      <c r="E577" s="690"/>
      <c r="F577" s="690"/>
      <c r="G577" s="690"/>
      <c r="H577" s="690"/>
      <c r="I577" s="690"/>
      <c r="J577" s="690"/>
      <c r="K577" s="690"/>
      <c r="L577" s="690"/>
      <c r="M577" s="690"/>
      <c r="N577" s="690"/>
      <c r="O577" s="690"/>
      <c r="P577" s="690"/>
      <c r="Q577" s="690"/>
      <c r="R577" s="690"/>
      <c r="S577" s="690"/>
      <c r="T577" s="690"/>
      <c r="U577" s="690"/>
      <c r="V577" s="690"/>
      <c r="W577" s="690"/>
      <c r="X577" s="690"/>
      <c r="Y577" s="690"/>
      <c r="Z577" s="690"/>
      <c r="AA577" s="690"/>
      <c r="AB577" s="690"/>
      <c r="AC577" s="690"/>
      <c r="AD577" s="690"/>
      <c r="AE577" s="690"/>
    </row>
    <row r="578" spans="1:31" ht="15.75" customHeight="1">
      <c r="A578" s="690"/>
      <c r="B578" s="690"/>
      <c r="C578" s="690"/>
      <c r="D578" s="690"/>
      <c r="E578" s="690"/>
      <c r="F578" s="690"/>
      <c r="G578" s="690"/>
      <c r="H578" s="690"/>
      <c r="I578" s="690"/>
      <c r="J578" s="690"/>
      <c r="K578" s="690"/>
      <c r="L578" s="690"/>
      <c r="M578" s="690"/>
      <c r="N578" s="690"/>
      <c r="O578" s="690"/>
      <c r="P578" s="690"/>
      <c r="Q578" s="690"/>
      <c r="R578" s="690"/>
      <c r="S578" s="690"/>
      <c r="T578" s="690"/>
      <c r="U578" s="690"/>
      <c r="V578" s="690"/>
      <c r="W578" s="690"/>
      <c r="X578" s="690"/>
      <c r="Y578" s="690"/>
      <c r="Z578" s="690"/>
      <c r="AA578" s="690"/>
      <c r="AB578" s="690"/>
      <c r="AC578" s="690"/>
      <c r="AD578" s="690"/>
      <c r="AE578" s="690"/>
    </row>
    <row r="579" spans="1:31" ht="15.75" customHeight="1">
      <c r="A579" s="690"/>
      <c r="B579" s="690"/>
      <c r="C579" s="690"/>
      <c r="D579" s="690"/>
      <c r="E579" s="690"/>
      <c r="F579" s="690"/>
      <c r="G579" s="690"/>
      <c r="H579" s="690"/>
      <c r="I579" s="690"/>
      <c r="J579" s="690"/>
      <c r="K579" s="690"/>
      <c r="L579" s="690"/>
      <c r="M579" s="690"/>
      <c r="N579" s="690"/>
      <c r="O579" s="690"/>
      <c r="P579" s="690"/>
      <c r="Q579" s="690"/>
      <c r="R579" s="690"/>
      <c r="S579" s="690"/>
      <c r="T579" s="690"/>
      <c r="U579" s="690"/>
      <c r="V579" s="690"/>
      <c r="W579" s="690"/>
      <c r="X579" s="690"/>
      <c r="Y579" s="690"/>
      <c r="Z579" s="690"/>
      <c r="AA579" s="690"/>
      <c r="AB579" s="690"/>
      <c r="AC579" s="690"/>
      <c r="AD579" s="690"/>
      <c r="AE579" s="690"/>
    </row>
    <row r="580" spans="1:31" ht="15.75" customHeight="1">
      <c r="A580" s="690"/>
      <c r="B580" s="690"/>
      <c r="C580" s="690"/>
      <c r="D580" s="690"/>
      <c r="E580" s="690"/>
      <c r="F580" s="690"/>
      <c r="G580" s="690"/>
      <c r="H580" s="690"/>
      <c r="I580" s="690"/>
      <c r="J580" s="690"/>
      <c r="K580" s="690"/>
      <c r="L580" s="690"/>
      <c r="M580" s="690"/>
      <c r="N580" s="690"/>
      <c r="O580" s="690"/>
      <c r="P580" s="690"/>
      <c r="Q580" s="690"/>
      <c r="R580" s="690"/>
      <c r="S580" s="690"/>
      <c r="T580" s="690"/>
      <c r="U580" s="690"/>
      <c r="V580" s="690"/>
      <c r="W580" s="690"/>
      <c r="X580" s="690"/>
      <c r="Y580" s="690"/>
      <c r="Z580" s="690"/>
      <c r="AA580" s="690"/>
      <c r="AB580" s="690"/>
      <c r="AC580" s="690"/>
      <c r="AD580" s="690"/>
      <c r="AE580" s="690"/>
    </row>
    <row r="581" spans="1:31" ht="15.75" customHeight="1">
      <c r="A581" s="690"/>
      <c r="B581" s="690"/>
      <c r="C581" s="690"/>
      <c r="D581" s="690"/>
      <c r="E581" s="690"/>
      <c r="F581" s="690"/>
      <c r="G581" s="690"/>
      <c r="H581" s="690"/>
      <c r="I581" s="690"/>
      <c r="J581" s="690"/>
      <c r="K581" s="690"/>
      <c r="L581" s="690"/>
      <c r="M581" s="690"/>
      <c r="N581" s="690"/>
      <c r="O581" s="690"/>
      <c r="P581" s="690"/>
      <c r="Q581" s="690"/>
      <c r="R581" s="690"/>
      <c r="S581" s="690"/>
      <c r="T581" s="690"/>
      <c r="U581" s="690"/>
      <c r="V581" s="690"/>
      <c r="W581" s="690"/>
      <c r="X581" s="690"/>
      <c r="Y581" s="690"/>
      <c r="Z581" s="690"/>
      <c r="AA581" s="690"/>
      <c r="AB581" s="690"/>
      <c r="AC581" s="690"/>
      <c r="AD581" s="690"/>
      <c r="AE581" s="690"/>
    </row>
    <row r="582" spans="1:31" ht="15.75" customHeight="1">
      <c r="A582" s="690"/>
      <c r="B582" s="690"/>
      <c r="C582" s="690"/>
      <c r="D582" s="690"/>
      <c r="E582" s="690"/>
      <c r="F582" s="690"/>
      <c r="G582" s="690"/>
      <c r="H582" s="690"/>
      <c r="I582" s="690"/>
      <c r="J582" s="690"/>
      <c r="K582" s="690"/>
      <c r="L582" s="690"/>
      <c r="M582" s="690"/>
      <c r="N582" s="690"/>
      <c r="O582" s="690"/>
      <c r="P582" s="690"/>
      <c r="Q582" s="690"/>
      <c r="R582" s="690"/>
      <c r="S582" s="690"/>
      <c r="T582" s="690"/>
      <c r="U582" s="690"/>
      <c r="V582" s="690"/>
      <c r="W582" s="690"/>
      <c r="X582" s="690"/>
      <c r="Y582" s="690"/>
      <c r="Z582" s="690"/>
      <c r="AA582" s="690"/>
      <c r="AB582" s="690"/>
      <c r="AC582" s="690"/>
      <c r="AD582" s="690"/>
      <c r="AE582" s="690"/>
    </row>
    <row r="583" spans="1:31" ht="15.75" customHeight="1">
      <c r="A583" s="690"/>
      <c r="B583" s="690"/>
      <c r="C583" s="690"/>
      <c r="D583" s="690"/>
      <c r="E583" s="690"/>
      <c r="F583" s="690"/>
      <c r="G583" s="690"/>
      <c r="H583" s="690"/>
      <c r="I583" s="690"/>
      <c r="J583" s="690"/>
      <c r="K583" s="690"/>
      <c r="L583" s="690"/>
      <c r="M583" s="690"/>
      <c r="N583" s="690"/>
      <c r="O583" s="690"/>
      <c r="P583" s="690"/>
      <c r="Q583" s="690"/>
      <c r="R583" s="690"/>
      <c r="S583" s="690"/>
      <c r="T583" s="690"/>
      <c r="U583" s="690"/>
      <c r="V583" s="690"/>
      <c r="W583" s="690"/>
      <c r="X583" s="690"/>
      <c r="Y583" s="690"/>
      <c r="Z583" s="690"/>
      <c r="AA583" s="690"/>
      <c r="AB583" s="690"/>
      <c r="AC583" s="690"/>
      <c r="AD583" s="690"/>
      <c r="AE583" s="690"/>
    </row>
    <row r="584" spans="1:31" ht="15.75" customHeight="1">
      <c r="A584" s="690"/>
      <c r="B584" s="690"/>
      <c r="C584" s="690"/>
      <c r="D584" s="690"/>
      <c r="E584" s="690"/>
      <c r="F584" s="690"/>
      <c r="G584" s="690"/>
      <c r="H584" s="690"/>
      <c r="I584" s="690"/>
      <c r="J584" s="690"/>
      <c r="K584" s="690"/>
      <c r="L584" s="690"/>
      <c r="M584" s="690"/>
      <c r="N584" s="690"/>
      <c r="O584" s="690"/>
      <c r="P584" s="690"/>
      <c r="Q584" s="690"/>
      <c r="R584" s="690"/>
      <c r="S584" s="690"/>
      <c r="T584" s="690"/>
      <c r="U584" s="690"/>
      <c r="V584" s="690"/>
      <c r="W584" s="690"/>
      <c r="X584" s="690"/>
      <c r="Y584" s="690"/>
      <c r="Z584" s="690"/>
      <c r="AA584" s="690"/>
      <c r="AB584" s="690"/>
      <c r="AC584" s="690"/>
      <c r="AD584" s="690"/>
      <c r="AE584" s="690"/>
    </row>
    <row r="585" spans="1:31" ht="15.75" customHeight="1">
      <c r="A585" s="690"/>
      <c r="B585" s="690"/>
      <c r="C585" s="690"/>
      <c r="D585" s="690"/>
      <c r="E585" s="690"/>
      <c r="F585" s="690"/>
      <c r="G585" s="690"/>
      <c r="H585" s="690"/>
      <c r="I585" s="690"/>
      <c r="J585" s="690"/>
      <c r="K585" s="690"/>
      <c r="L585" s="690"/>
      <c r="M585" s="690"/>
      <c r="N585" s="690"/>
      <c r="O585" s="690"/>
      <c r="P585" s="690"/>
      <c r="Q585" s="690"/>
      <c r="R585" s="690"/>
      <c r="S585" s="690"/>
      <c r="T585" s="690"/>
      <c r="U585" s="690"/>
      <c r="V585" s="690"/>
      <c r="W585" s="690"/>
      <c r="X585" s="690"/>
      <c r="Y585" s="690"/>
      <c r="Z585" s="690"/>
      <c r="AA585" s="690"/>
      <c r="AB585" s="690"/>
      <c r="AC585" s="690"/>
      <c r="AD585" s="690"/>
      <c r="AE585" s="690"/>
    </row>
    <row r="586" spans="1:31" ht="15.75" customHeight="1">
      <c r="A586" s="690"/>
      <c r="B586" s="690"/>
      <c r="C586" s="690"/>
      <c r="D586" s="690"/>
      <c r="E586" s="690"/>
      <c r="F586" s="690"/>
      <c r="G586" s="690"/>
      <c r="H586" s="690"/>
      <c r="I586" s="690"/>
      <c r="J586" s="690"/>
      <c r="K586" s="690"/>
      <c r="L586" s="690"/>
      <c r="M586" s="690"/>
      <c r="N586" s="690"/>
      <c r="O586" s="690"/>
      <c r="P586" s="690"/>
      <c r="Q586" s="690"/>
      <c r="R586" s="690"/>
      <c r="S586" s="690"/>
      <c r="T586" s="690"/>
      <c r="U586" s="690"/>
      <c r="V586" s="690"/>
      <c r="W586" s="690"/>
      <c r="X586" s="690"/>
      <c r="Y586" s="690"/>
      <c r="Z586" s="690"/>
      <c r="AA586" s="690"/>
      <c r="AB586" s="690"/>
      <c r="AC586" s="690"/>
      <c r="AD586" s="690"/>
      <c r="AE586" s="690"/>
    </row>
    <row r="587" spans="1:31" ht="15.75" customHeight="1">
      <c r="A587" s="690"/>
      <c r="B587" s="690"/>
      <c r="C587" s="690"/>
      <c r="D587" s="690"/>
      <c r="E587" s="690"/>
      <c r="F587" s="690"/>
      <c r="G587" s="690"/>
      <c r="H587" s="690"/>
      <c r="I587" s="690"/>
      <c r="J587" s="690"/>
      <c r="K587" s="690"/>
      <c r="L587" s="690"/>
      <c r="M587" s="690"/>
      <c r="N587" s="690"/>
      <c r="O587" s="690"/>
      <c r="P587" s="690"/>
      <c r="Q587" s="690"/>
      <c r="R587" s="690"/>
      <c r="S587" s="690"/>
      <c r="T587" s="690"/>
      <c r="U587" s="690"/>
      <c r="V587" s="690"/>
      <c r="W587" s="690"/>
      <c r="X587" s="690"/>
      <c r="Y587" s="690"/>
      <c r="Z587" s="690"/>
      <c r="AA587" s="690"/>
      <c r="AB587" s="690"/>
      <c r="AC587" s="690"/>
      <c r="AD587" s="690"/>
      <c r="AE587" s="690"/>
    </row>
    <row r="588" spans="1:31" ht="15.75" customHeight="1">
      <c r="A588" s="690"/>
      <c r="B588" s="690"/>
      <c r="C588" s="690"/>
      <c r="D588" s="690"/>
      <c r="E588" s="690"/>
      <c r="F588" s="690"/>
      <c r="G588" s="690"/>
      <c r="H588" s="690"/>
      <c r="I588" s="690"/>
      <c r="J588" s="690"/>
      <c r="K588" s="690"/>
      <c r="L588" s="690"/>
      <c r="M588" s="690"/>
      <c r="N588" s="690"/>
      <c r="O588" s="690"/>
      <c r="P588" s="690"/>
      <c r="Q588" s="690"/>
      <c r="R588" s="690"/>
      <c r="S588" s="690"/>
      <c r="T588" s="690"/>
      <c r="U588" s="690"/>
      <c r="V588" s="690"/>
      <c r="W588" s="690"/>
      <c r="X588" s="690"/>
      <c r="Y588" s="690"/>
      <c r="Z588" s="690"/>
      <c r="AA588" s="690"/>
      <c r="AB588" s="690"/>
      <c r="AC588" s="690"/>
      <c r="AD588" s="690"/>
      <c r="AE588" s="690"/>
    </row>
    <row r="589" spans="1:31" ht="15.75" customHeight="1">
      <c r="A589" s="690"/>
      <c r="B589" s="690"/>
      <c r="C589" s="690"/>
      <c r="D589" s="690"/>
      <c r="E589" s="690"/>
      <c r="F589" s="690"/>
      <c r="G589" s="690"/>
      <c r="H589" s="690"/>
      <c r="I589" s="690"/>
      <c r="J589" s="690"/>
      <c r="K589" s="690"/>
      <c r="L589" s="690"/>
      <c r="M589" s="690"/>
      <c r="N589" s="690"/>
      <c r="O589" s="690"/>
      <c r="P589" s="690"/>
      <c r="Q589" s="690"/>
      <c r="R589" s="690"/>
      <c r="S589" s="690"/>
      <c r="T589" s="690"/>
      <c r="U589" s="690"/>
      <c r="V589" s="690"/>
      <c r="W589" s="690"/>
      <c r="X589" s="690"/>
      <c r="Y589" s="690"/>
      <c r="Z589" s="690"/>
      <c r="AA589" s="690"/>
      <c r="AB589" s="690"/>
      <c r="AC589" s="690"/>
      <c r="AD589" s="690"/>
      <c r="AE589" s="690"/>
    </row>
    <row r="590" spans="1:31" ht="15.75" customHeight="1">
      <c r="A590" s="690"/>
      <c r="B590" s="690"/>
      <c r="C590" s="690"/>
      <c r="D590" s="690"/>
      <c r="E590" s="690"/>
      <c r="F590" s="690"/>
      <c r="G590" s="690"/>
      <c r="H590" s="690"/>
      <c r="I590" s="690"/>
      <c r="J590" s="690"/>
      <c r="K590" s="690"/>
      <c r="L590" s="690"/>
      <c r="M590" s="690"/>
      <c r="N590" s="690"/>
      <c r="O590" s="690"/>
      <c r="P590" s="690"/>
      <c r="Q590" s="690"/>
      <c r="R590" s="690"/>
      <c r="S590" s="690"/>
      <c r="T590" s="690"/>
      <c r="U590" s="690"/>
      <c r="V590" s="690"/>
      <c r="W590" s="690"/>
      <c r="X590" s="690"/>
      <c r="Y590" s="690"/>
      <c r="Z590" s="690"/>
      <c r="AA590" s="690"/>
      <c r="AB590" s="690"/>
      <c r="AC590" s="690"/>
      <c r="AD590" s="690"/>
      <c r="AE590" s="690"/>
    </row>
    <row r="591" spans="1:31" ht="15.75" customHeight="1">
      <c r="A591" s="690"/>
      <c r="B591" s="690"/>
      <c r="C591" s="690"/>
      <c r="D591" s="690"/>
      <c r="E591" s="690"/>
      <c r="F591" s="690"/>
      <c r="G591" s="690"/>
      <c r="H591" s="690"/>
      <c r="I591" s="690"/>
      <c r="J591" s="690"/>
      <c r="K591" s="690"/>
      <c r="L591" s="690"/>
      <c r="M591" s="690"/>
      <c r="N591" s="690"/>
      <c r="O591" s="690"/>
      <c r="P591" s="690"/>
      <c r="Q591" s="690"/>
      <c r="R591" s="690"/>
      <c r="S591" s="690"/>
      <c r="T591" s="690"/>
      <c r="U591" s="690"/>
      <c r="V591" s="690"/>
      <c r="W591" s="690"/>
      <c r="X591" s="690"/>
      <c r="Y591" s="690"/>
      <c r="Z591" s="690"/>
      <c r="AA591" s="690"/>
      <c r="AB591" s="690"/>
      <c r="AC591" s="690"/>
      <c r="AD591" s="690"/>
      <c r="AE591" s="690"/>
    </row>
    <row r="592" spans="1:31" ht="15.75" customHeight="1">
      <c r="A592" s="690"/>
      <c r="B592" s="690"/>
      <c r="C592" s="690"/>
      <c r="D592" s="690"/>
      <c r="E592" s="690"/>
      <c r="F592" s="690"/>
      <c r="G592" s="690"/>
      <c r="H592" s="690"/>
      <c r="I592" s="690"/>
      <c r="J592" s="690"/>
      <c r="K592" s="690"/>
      <c r="L592" s="690"/>
      <c r="M592" s="690"/>
      <c r="N592" s="690"/>
      <c r="O592" s="690"/>
      <c r="P592" s="690"/>
      <c r="Q592" s="690"/>
      <c r="R592" s="690"/>
      <c r="S592" s="690"/>
      <c r="T592" s="690"/>
      <c r="U592" s="690"/>
      <c r="V592" s="690"/>
      <c r="W592" s="690"/>
      <c r="X592" s="690"/>
      <c r="Y592" s="690"/>
      <c r="Z592" s="690"/>
      <c r="AA592" s="690"/>
      <c r="AB592" s="690"/>
      <c r="AC592" s="690"/>
      <c r="AD592" s="690"/>
      <c r="AE592" s="690"/>
    </row>
    <row r="593" spans="1:31" ht="15.75" customHeight="1">
      <c r="A593" s="690"/>
      <c r="B593" s="690"/>
      <c r="C593" s="690"/>
      <c r="D593" s="690"/>
      <c r="E593" s="690"/>
      <c r="F593" s="690"/>
      <c r="G593" s="690"/>
      <c r="H593" s="690"/>
      <c r="I593" s="690"/>
      <c r="J593" s="690"/>
      <c r="K593" s="690"/>
      <c r="L593" s="690"/>
      <c r="M593" s="690"/>
      <c r="N593" s="690"/>
      <c r="O593" s="690"/>
      <c r="P593" s="690"/>
      <c r="Q593" s="690"/>
      <c r="R593" s="690"/>
      <c r="S593" s="690"/>
      <c r="T593" s="690"/>
      <c r="U593" s="690"/>
      <c r="V593" s="690"/>
      <c r="W593" s="690"/>
      <c r="X593" s="690"/>
      <c r="Y593" s="690"/>
      <c r="Z593" s="690"/>
      <c r="AA593" s="690"/>
      <c r="AB593" s="690"/>
      <c r="AC593" s="690"/>
      <c r="AD593" s="690"/>
      <c r="AE593" s="690"/>
    </row>
    <row r="594" spans="1:31" ht="15.75" customHeight="1">
      <c r="A594" s="690"/>
      <c r="B594" s="690"/>
      <c r="C594" s="690"/>
      <c r="D594" s="690"/>
      <c r="E594" s="690"/>
      <c r="F594" s="690"/>
      <c r="G594" s="690"/>
      <c r="H594" s="690"/>
      <c r="I594" s="690"/>
      <c r="J594" s="690"/>
      <c r="K594" s="690"/>
      <c r="L594" s="690"/>
      <c r="M594" s="690"/>
      <c r="N594" s="690"/>
      <c r="O594" s="690"/>
      <c r="P594" s="690"/>
      <c r="Q594" s="690"/>
      <c r="R594" s="690"/>
      <c r="S594" s="690"/>
      <c r="T594" s="690"/>
      <c r="U594" s="690"/>
      <c r="V594" s="690"/>
      <c r="W594" s="690"/>
      <c r="X594" s="690"/>
      <c r="Y594" s="690"/>
      <c r="Z594" s="690"/>
      <c r="AA594" s="690"/>
      <c r="AB594" s="690"/>
      <c r="AC594" s="690"/>
      <c r="AD594" s="690"/>
      <c r="AE594" s="690"/>
    </row>
    <row r="595" spans="1:31" ht="15.75" customHeight="1">
      <c r="A595" s="690"/>
      <c r="B595" s="690"/>
      <c r="C595" s="690"/>
      <c r="D595" s="690"/>
      <c r="E595" s="690"/>
      <c r="F595" s="690"/>
      <c r="G595" s="690"/>
      <c r="H595" s="690"/>
      <c r="I595" s="690"/>
      <c r="J595" s="690"/>
      <c r="K595" s="690"/>
      <c r="L595" s="690"/>
      <c r="M595" s="690"/>
      <c r="N595" s="690"/>
      <c r="O595" s="690"/>
      <c r="P595" s="690"/>
      <c r="Q595" s="690"/>
      <c r="R595" s="690"/>
      <c r="S595" s="690"/>
      <c r="T595" s="690"/>
      <c r="U595" s="690"/>
      <c r="V595" s="690"/>
      <c r="W595" s="690"/>
      <c r="X595" s="690"/>
      <c r="Y595" s="690"/>
      <c r="Z595" s="690"/>
      <c r="AA595" s="690"/>
      <c r="AB595" s="690"/>
      <c r="AC595" s="690"/>
      <c r="AD595" s="690"/>
      <c r="AE595" s="690"/>
    </row>
    <row r="596" spans="1:31" ht="15.75" customHeight="1">
      <c r="A596" s="690"/>
      <c r="B596" s="690"/>
      <c r="C596" s="690"/>
      <c r="D596" s="690"/>
      <c r="E596" s="690"/>
      <c r="F596" s="690"/>
      <c r="G596" s="690"/>
      <c r="H596" s="690"/>
      <c r="I596" s="690"/>
      <c r="J596" s="690"/>
      <c r="K596" s="690"/>
      <c r="L596" s="690"/>
      <c r="M596" s="690"/>
      <c r="N596" s="690"/>
      <c r="O596" s="690"/>
      <c r="P596" s="690"/>
      <c r="Q596" s="690"/>
      <c r="R596" s="690"/>
      <c r="S596" s="690"/>
      <c r="T596" s="690"/>
      <c r="U596" s="690"/>
      <c r="V596" s="690"/>
      <c r="W596" s="690"/>
      <c r="X596" s="690"/>
      <c r="Y596" s="690"/>
      <c r="Z596" s="690"/>
      <c r="AA596" s="690"/>
      <c r="AB596" s="690"/>
      <c r="AC596" s="690"/>
      <c r="AD596" s="690"/>
      <c r="AE596" s="690"/>
    </row>
    <row r="597" spans="1:31" ht="15.75" customHeight="1">
      <c r="A597" s="690"/>
      <c r="B597" s="690"/>
      <c r="C597" s="690"/>
      <c r="D597" s="690"/>
      <c r="E597" s="690"/>
      <c r="F597" s="690"/>
      <c r="G597" s="690"/>
      <c r="H597" s="690"/>
      <c r="I597" s="690"/>
      <c r="J597" s="690"/>
      <c r="K597" s="690"/>
      <c r="L597" s="690"/>
      <c r="M597" s="690"/>
      <c r="N597" s="690"/>
      <c r="O597" s="690"/>
      <c r="P597" s="690"/>
      <c r="Q597" s="690"/>
      <c r="R597" s="690"/>
      <c r="S597" s="690"/>
      <c r="T597" s="690"/>
      <c r="U597" s="690"/>
      <c r="V597" s="690"/>
      <c r="W597" s="690"/>
      <c r="X597" s="690"/>
      <c r="Y597" s="690"/>
      <c r="Z597" s="690"/>
      <c r="AA597" s="690"/>
      <c r="AB597" s="690"/>
      <c r="AC597" s="690"/>
      <c r="AD597" s="690"/>
      <c r="AE597" s="690"/>
    </row>
    <row r="598" spans="1:31" ht="15.75" customHeight="1">
      <c r="A598" s="690"/>
      <c r="B598" s="690"/>
      <c r="C598" s="690"/>
      <c r="D598" s="690"/>
      <c r="E598" s="690"/>
      <c r="F598" s="690"/>
      <c r="G598" s="690"/>
      <c r="H598" s="690"/>
      <c r="I598" s="690"/>
      <c r="J598" s="690"/>
      <c r="K598" s="690"/>
      <c r="L598" s="690"/>
      <c r="M598" s="690"/>
      <c r="N598" s="690"/>
      <c r="O598" s="690"/>
      <c r="P598" s="690"/>
      <c r="Q598" s="690"/>
      <c r="R598" s="690"/>
      <c r="S598" s="690"/>
      <c r="T598" s="690"/>
      <c r="U598" s="690"/>
      <c r="V598" s="690"/>
      <c r="W598" s="690"/>
      <c r="X598" s="690"/>
      <c r="Y598" s="690"/>
      <c r="Z598" s="690"/>
      <c r="AA598" s="690"/>
      <c r="AB598" s="690"/>
      <c r="AC598" s="690"/>
      <c r="AD598" s="690"/>
      <c r="AE598" s="690"/>
    </row>
    <row r="599" spans="1:31" ht="15.75" customHeight="1">
      <c r="A599" s="690"/>
      <c r="B599" s="690"/>
      <c r="C599" s="690"/>
      <c r="D599" s="690"/>
      <c r="E599" s="690"/>
      <c r="F599" s="690"/>
      <c r="G599" s="690"/>
      <c r="H599" s="690"/>
      <c r="I599" s="690"/>
      <c r="J599" s="690"/>
      <c r="K599" s="690"/>
      <c r="L599" s="690"/>
      <c r="M599" s="690"/>
      <c r="N599" s="690"/>
      <c r="O599" s="690"/>
      <c r="P599" s="690"/>
      <c r="Q599" s="690"/>
      <c r="R599" s="690"/>
      <c r="S599" s="690"/>
      <c r="T599" s="690"/>
      <c r="U599" s="690"/>
      <c r="V599" s="690"/>
      <c r="W599" s="690"/>
      <c r="X599" s="690"/>
      <c r="Y599" s="690"/>
      <c r="Z599" s="690"/>
      <c r="AA599" s="690"/>
      <c r="AB599" s="690"/>
      <c r="AC599" s="690"/>
      <c r="AD599" s="690"/>
      <c r="AE599" s="690"/>
    </row>
    <row r="600" spans="1:31" ht="15.75" customHeight="1">
      <c r="A600" s="690"/>
      <c r="B600" s="690"/>
      <c r="C600" s="690"/>
      <c r="D600" s="690"/>
      <c r="E600" s="690"/>
      <c r="F600" s="690"/>
      <c r="G600" s="690"/>
      <c r="H600" s="690"/>
      <c r="I600" s="690"/>
      <c r="J600" s="690"/>
      <c r="K600" s="690"/>
      <c r="L600" s="690"/>
      <c r="M600" s="690"/>
      <c r="N600" s="690"/>
      <c r="O600" s="690"/>
      <c r="P600" s="690"/>
      <c r="Q600" s="690"/>
      <c r="R600" s="690"/>
      <c r="S600" s="690"/>
      <c r="T600" s="690"/>
      <c r="U600" s="690"/>
      <c r="V600" s="690"/>
      <c r="W600" s="690"/>
      <c r="X600" s="690"/>
      <c r="Y600" s="690"/>
      <c r="Z600" s="690"/>
      <c r="AA600" s="690"/>
      <c r="AB600" s="690"/>
      <c r="AC600" s="690"/>
      <c r="AD600" s="690"/>
      <c r="AE600" s="690"/>
    </row>
    <row r="601" spans="1:31" ht="15.75" customHeight="1">
      <c r="A601" s="690"/>
      <c r="B601" s="690"/>
      <c r="C601" s="690"/>
      <c r="D601" s="690"/>
      <c r="E601" s="690"/>
      <c r="F601" s="690"/>
      <c r="G601" s="690"/>
      <c r="H601" s="690"/>
      <c r="I601" s="690"/>
      <c r="J601" s="690"/>
      <c r="K601" s="690"/>
      <c r="L601" s="690"/>
      <c r="M601" s="690"/>
      <c r="N601" s="690"/>
      <c r="O601" s="690"/>
      <c r="P601" s="690"/>
      <c r="Q601" s="690"/>
      <c r="R601" s="690"/>
      <c r="S601" s="690"/>
      <c r="T601" s="690"/>
      <c r="U601" s="690"/>
      <c r="V601" s="690"/>
      <c r="W601" s="690"/>
      <c r="X601" s="690"/>
      <c r="Y601" s="690"/>
      <c r="Z601" s="690"/>
      <c r="AA601" s="690"/>
      <c r="AB601" s="690"/>
      <c r="AC601" s="690"/>
      <c r="AD601" s="690"/>
      <c r="AE601" s="690"/>
    </row>
    <row r="602" spans="1:31" ht="15.75" customHeight="1">
      <c r="A602" s="690"/>
      <c r="B602" s="690"/>
      <c r="C602" s="690"/>
      <c r="D602" s="690"/>
      <c r="E602" s="690"/>
      <c r="F602" s="690"/>
      <c r="G602" s="690"/>
      <c r="H602" s="690"/>
      <c r="I602" s="690"/>
      <c r="J602" s="690"/>
      <c r="K602" s="690"/>
      <c r="L602" s="690"/>
      <c r="M602" s="690"/>
      <c r="N602" s="690"/>
      <c r="O602" s="690"/>
      <c r="P602" s="690"/>
      <c r="Q602" s="690"/>
      <c r="R602" s="690"/>
      <c r="S602" s="690"/>
      <c r="T602" s="690"/>
      <c r="U602" s="690"/>
      <c r="V602" s="690"/>
      <c r="W602" s="690"/>
      <c r="X602" s="690"/>
      <c r="Y602" s="690"/>
      <c r="Z602" s="690"/>
      <c r="AA602" s="690"/>
      <c r="AB602" s="690"/>
      <c r="AC602" s="690"/>
      <c r="AD602" s="690"/>
      <c r="AE602" s="690"/>
    </row>
    <row r="603" spans="1:31" ht="15.75" customHeight="1">
      <c r="A603" s="690"/>
      <c r="B603" s="690"/>
      <c r="C603" s="690"/>
      <c r="D603" s="690"/>
      <c r="E603" s="690"/>
      <c r="F603" s="690"/>
      <c r="G603" s="690"/>
      <c r="H603" s="690"/>
      <c r="I603" s="690"/>
      <c r="J603" s="690"/>
      <c r="K603" s="690"/>
      <c r="L603" s="690"/>
      <c r="M603" s="690"/>
      <c r="N603" s="690"/>
      <c r="O603" s="690"/>
      <c r="P603" s="690"/>
      <c r="Q603" s="690"/>
      <c r="R603" s="690"/>
      <c r="S603" s="690"/>
      <c r="T603" s="690"/>
      <c r="U603" s="690"/>
      <c r="V603" s="690"/>
      <c r="W603" s="690"/>
      <c r="X603" s="690"/>
      <c r="Y603" s="690"/>
      <c r="Z603" s="690"/>
      <c r="AA603" s="690"/>
      <c r="AB603" s="690"/>
      <c r="AC603" s="690"/>
      <c r="AD603" s="690"/>
      <c r="AE603" s="690"/>
    </row>
    <row r="604" spans="1:31" ht="15.75" customHeight="1">
      <c r="A604" s="690"/>
      <c r="B604" s="690"/>
      <c r="C604" s="690"/>
      <c r="D604" s="690"/>
      <c r="E604" s="690"/>
      <c r="F604" s="690"/>
      <c r="G604" s="690"/>
      <c r="H604" s="690"/>
      <c r="I604" s="690"/>
      <c r="J604" s="690"/>
      <c r="K604" s="690"/>
      <c r="L604" s="690"/>
      <c r="M604" s="690"/>
      <c r="N604" s="690"/>
      <c r="O604" s="690"/>
      <c r="P604" s="690"/>
      <c r="Q604" s="690"/>
      <c r="R604" s="690"/>
      <c r="S604" s="690"/>
      <c r="T604" s="690"/>
      <c r="U604" s="690"/>
      <c r="V604" s="690"/>
      <c r="W604" s="690"/>
      <c r="X604" s="690"/>
      <c r="Y604" s="690"/>
      <c r="Z604" s="690"/>
      <c r="AA604" s="690"/>
      <c r="AB604" s="690"/>
      <c r="AC604" s="690"/>
      <c r="AD604" s="690"/>
      <c r="AE604" s="690"/>
    </row>
    <row r="605" spans="1:31" ht="15.75" customHeight="1">
      <c r="A605" s="690"/>
      <c r="B605" s="690"/>
      <c r="C605" s="690"/>
      <c r="D605" s="690"/>
      <c r="E605" s="690"/>
      <c r="F605" s="690"/>
      <c r="G605" s="690"/>
      <c r="H605" s="690"/>
      <c r="I605" s="690"/>
      <c r="J605" s="690"/>
      <c r="K605" s="690"/>
      <c r="L605" s="690"/>
      <c r="M605" s="690"/>
      <c r="N605" s="690"/>
      <c r="O605" s="690"/>
      <c r="P605" s="690"/>
      <c r="Q605" s="690"/>
      <c r="R605" s="690"/>
      <c r="S605" s="690"/>
      <c r="T605" s="690"/>
      <c r="U605" s="690"/>
      <c r="V605" s="690"/>
      <c r="W605" s="690"/>
      <c r="X605" s="690"/>
      <c r="Y605" s="690"/>
      <c r="Z605" s="690"/>
      <c r="AA605" s="690"/>
      <c r="AB605" s="690"/>
      <c r="AC605" s="690"/>
      <c r="AD605" s="690"/>
      <c r="AE605" s="690"/>
    </row>
    <row r="606" spans="1:31" ht="15.75" customHeight="1">
      <c r="A606" s="690"/>
      <c r="B606" s="690"/>
      <c r="C606" s="690"/>
      <c r="D606" s="690"/>
      <c r="E606" s="690"/>
      <c r="F606" s="690"/>
      <c r="G606" s="690"/>
      <c r="H606" s="690"/>
      <c r="I606" s="690"/>
      <c r="J606" s="690"/>
      <c r="K606" s="690"/>
      <c r="L606" s="690"/>
      <c r="M606" s="690"/>
      <c r="N606" s="690"/>
      <c r="O606" s="690"/>
      <c r="P606" s="690"/>
      <c r="Q606" s="690"/>
      <c r="R606" s="690"/>
      <c r="S606" s="690"/>
      <c r="T606" s="690"/>
      <c r="U606" s="690"/>
      <c r="V606" s="690"/>
      <c r="W606" s="690"/>
      <c r="X606" s="690"/>
      <c r="Y606" s="690"/>
      <c r="Z606" s="690"/>
      <c r="AA606" s="690"/>
      <c r="AB606" s="690"/>
      <c r="AC606" s="690"/>
      <c r="AD606" s="690"/>
      <c r="AE606" s="690"/>
    </row>
    <row r="607" spans="1:31" ht="15.75" customHeight="1">
      <c r="A607" s="690"/>
      <c r="B607" s="690"/>
      <c r="C607" s="690"/>
      <c r="D607" s="690"/>
      <c r="E607" s="690"/>
      <c r="F607" s="690"/>
      <c r="G607" s="690"/>
      <c r="H607" s="690"/>
      <c r="I607" s="690"/>
      <c r="J607" s="690"/>
      <c r="K607" s="690"/>
      <c r="L607" s="690"/>
      <c r="M607" s="690"/>
      <c r="N607" s="690"/>
      <c r="O607" s="690"/>
      <c r="P607" s="690"/>
      <c r="Q607" s="690"/>
      <c r="R607" s="690"/>
      <c r="S607" s="690"/>
      <c r="T607" s="690"/>
      <c r="U607" s="690"/>
      <c r="V607" s="690"/>
      <c r="W607" s="690"/>
      <c r="X607" s="690"/>
      <c r="Y607" s="690"/>
      <c r="Z607" s="690"/>
      <c r="AA607" s="690"/>
      <c r="AB607" s="690"/>
      <c r="AC607" s="690"/>
      <c r="AD607" s="690"/>
      <c r="AE607" s="690"/>
    </row>
    <row r="608" spans="1:31" ht="15.75" customHeight="1">
      <c r="A608" s="690"/>
      <c r="B608" s="690"/>
      <c r="C608" s="690"/>
      <c r="D608" s="690"/>
      <c r="E608" s="690"/>
      <c r="F608" s="690"/>
      <c r="G608" s="690"/>
      <c r="H608" s="690"/>
      <c r="I608" s="690"/>
      <c r="J608" s="690"/>
      <c r="K608" s="690"/>
      <c r="L608" s="690"/>
      <c r="M608" s="690"/>
      <c r="N608" s="690"/>
      <c r="O608" s="690"/>
      <c r="P608" s="690"/>
      <c r="Q608" s="690"/>
      <c r="R608" s="690"/>
      <c r="S608" s="690"/>
      <c r="T608" s="690"/>
      <c r="U608" s="690"/>
      <c r="V608" s="690"/>
      <c r="W608" s="690"/>
      <c r="X608" s="690"/>
      <c r="Y608" s="690"/>
      <c r="Z608" s="690"/>
      <c r="AA608" s="690"/>
      <c r="AB608" s="690"/>
      <c r="AC608" s="690"/>
      <c r="AD608" s="690"/>
      <c r="AE608" s="690"/>
    </row>
    <row r="609" spans="1:31" ht="15.75" customHeight="1">
      <c r="A609" s="690"/>
      <c r="B609" s="690"/>
      <c r="C609" s="690"/>
      <c r="D609" s="690"/>
      <c r="E609" s="690"/>
      <c r="F609" s="690"/>
      <c r="G609" s="690"/>
      <c r="H609" s="690"/>
      <c r="I609" s="690"/>
      <c r="J609" s="690"/>
      <c r="K609" s="690"/>
      <c r="L609" s="690"/>
      <c r="M609" s="690"/>
      <c r="N609" s="690"/>
      <c r="O609" s="690"/>
      <c r="P609" s="690"/>
      <c r="Q609" s="690"/>
      <c r="R609" s="690"/>
      <c r="S609" s="690"/>
      <c r="T609" s="690"/>
      <c r="U609" s="690"/>
      <c r="V609" s="690"/>
      <c r="W609" s="690"/>
      <c r="X609" s="690"/>
      <c r="Y609" s="690"/>
      <c r="Z609" s="690"/>
      <c r="AA609" s="690"/>
      <c r="AB609" s="690"/>
      <c r="AC609" s="690"/>
      <c r="AD609" s="690"/>
      <c r="AE609" s="690"/>
    </row>
    <row r="610" spans="1:31" ht="15.75" customHeight="1">
      <c r="A610" s="690"/>
      <c r="B610" s="690"/>
      <c r="C610" s="690"/>
      <c r="D610" s="690"/>
      <c r="E610" s="690"/>
      <c r="F610" s="690"/>
      <c r="G610" s="690"/>
      <c r="H610" s="690"/>
      <c r="I610" s="690"/>
      <c r="J610" s="690"/>
      <c r="K610" s="690"/>
      <c r="L610" s="690"/>
      <c r="M610" s="690"/>
      <c r="N610" s="690"/>
      <c r="O610" s="690"/>
      <c r="P610" s="690"/>
      <c r="Q610" s="690"/>
      <c r="R610" s="690"/>
      <c r="S610" s="690"/>
      <c r="T610" s="690"/>
      <c r="U610" s="690"/>
      <c r="V610" s="690"/>
      <c r="W610" s="690"/>
      <c r="X610" s="690"/>
      <c r="Y610" s="690"/>
      <c r="Z610" s="690"/>
      <c r="AA610" s="690"/>
      <c r="AB610" s="690"/>
      <c r="AC610" s="690"/>
      <c r="AD610" s="690"/>
      <c r="AE610" s="690"/>
    </row>
    <row r="611" spans="1:31" ht="15.75" customHeight="1">
      <c r="A611" s="690"/>
      <c r="B611" s="690"/>
      <c r="C611" s="690"/>
      <c r="D611" s="690"/>
      <c r="E611" s="690"/>
      <c r="F611" s="690"/>
      <c r="G611" s="690"/>
      <c r="H611" s="690"/>
      <c r="I611" s="690"/>
      <c r="J611" s="690"/>
      <c r="K611" s="690"/>
      <c r="L611" s="690"/>
      <c r="M611" s="690"/>
      <c r="N611" s="690"/>
      <c r="O611" s="690"/>
      <c r="P611" s="690"/>
      <c r="Q611" s="690"/>
      <c r="R611" s="690"/>
      <c r="S611" s="690"/>
      <c r="T611" s="690"/>
      <c r="U611" s="690"/>
      <c r="V611" s="690"/>
      <c r="W611" s="690"/>
      <c r="X611" s="690"/>
      <c r="Y611" s="690"/>
      <c r="Z611" s="690"/>
      <c r="AA611" s="690"/>
      <c r="AB611" s="690"/>
      <c r="AC611" s="690"/>
      <c r="AD611" s="690"/>
      <c r="AE611" s="690"/>
    </row>
    <row r="612" spans="1:31" ht="15.75" customHeight="1">
      <c r="A612" s="690"/>
      <c r="B612" s="690"/>
      <c r="C612" s="690"/>
      <c r="D612" s="690"/>
      <c r="E612" s="690"/>
      <c r="F612" s="690"/>
      <c r="G612" s="690"/>
      <c r="H612" s="690"/>
      <c r="I612" s="690"/>
      <c r="J612" s="690"/>
      <c r="K612" s="690"/>
      <c r="L612" s="690"/>
      <c r="M612" s="690"/>
      <c r="N612" s="690"/>
      <c r="O612" s="690"/>
      <c r="P612" s="690"/>
      <c r="Q612" s="690"/>
      <c r="R612" s="690"/>
      <c r="S612" s="690"/>
      <c r="T612" s="690"/>
      <c r="U612" s="690"/>
      <c r="V612" s="690"/>
      <c r="W612" s="690"/>
      <c r="X612" s="690"/>
      <c r="Y612" s="690"/>
      <c r="Z612" s="690"/>
      <c r="AA612" s="690"/>
      <c r="AB612" s="690"/>
      <c r="AC612" s="690"/>
      <c r="AD612" s="690"/>
      <c r="AE612" s="690"/>
    </row>
    <row r="613" spans="1:31" ht="15.75" customHeight="1">
      <c r="A613" s="690"/>
      <c r="B613" s="690"/>
      <c r="C613" s="690"/>
      <c r="D613" s="690"/>
      <c r="E613" s="690"/>
      <c r="F613" s="690"/>
      <c r="G613" s="690"/>
      <c r="H613" s="690"/>
      <c r="I613" s="690"/>
      <c r="J613" s="690"/>
      <c r="K613" s="690"/>
      <c r="L613" s="690"/>
      <c r="M613" s="690"/>
      <c r="N613" s="690"/>
      <c r="O613" s="690"/>
      <c r="P613" s="690"/>
      <c r="Q613" s="690"/>
      <c r="R613" s="690"/>
      <c r="S613" s="690"/>
      <c r="T613" s="690"/>
      <c r="U613" s="690"/>
      <c r="V613" s="690"/>
      <c r="W613" s="690"/>
      <c r="X613" s="690"/>
      <c r="Y613" s="690"/>
      <c r="Z613" s="690"/>
      <c r="AA613" s="690"/>
      <c r="AB613" s="690"/>
      <c r="AC613" s="690"/>
      <c r="AD613" s="690"/>
      <c r="AE613" s="690"/>
    </row>
    <row r="614" spans="1:31" ht="15.75" customHeight="1">
      <c r="A614" s="690"/>
      <c r="B614" s="690"/>
      <c r="C614" s="690"/>
      <c r="D614" s="690"/>
      <c r="E614" s="690"/>
      <c r="F614" s="690"/>
      <c r="G614" s="690"/>
      <c r="H614" s="690"/>
      <c r="I614" s="690"/>
      <c r="J614" s="690"/>
      <c r="K614" s="690"/>
      <c r="L614" s="690"/>
      <c r="M614" s="690"/>
      <c r="N614" s="690"/>
      <c r="O614" s="690"/>
      <c r="P614" s="690"/>
      <c r="Q614" s="690"/>
      <c r="R614" s="690"/>
      <c r="S614" s="690"/>
      <c r="T614" s="690"/>
      <c r="U614" s="690"/>
      <c r="V614" s="690"/>
      <c r="W614" s="690"/>
      <c r="X614" s="690"/>
      <c r="Y614" s="690"/>
      <c r="Z614" s="690"/>
      <c r="AA614" s="690"/>
      <c r="AB614" s="690"/>
      <c r="AC614" s="690"/>
      <c r="AD614" s="690"/>
      <c r="AE614" s="690"/>
    </row>
    <row r="615" spans="1:31" ht="15.75" customHeight="1">
      <c r="A615" s="690"/>
      <c r="B615" s="690"/>
      <c r="C615" s="690"/>
      <c r="D615" s="690"/>
      <c r="E615" s="690"/>
      <c r="F615" s="690"/>
      <c r="G615" s="690"/>
      <c r="H615" s="690"/>
      <c r="I615" s="690"/>
      <c r="J615" s="690"/>
      <c r="K615" s="690"/>
      <c r="L615" s="690"/>
      <c r="M615" s="690"/>
      <c r="N615" s="690"/>
      <c r="O615" s="690"/>
      <c r="P615" s="690"/>
      <c r="Q615" s="690"/>
      <c r="R615" s="690"/>
      <c r="S615" s="690"/>
      <c r="T615" s="690"/>
      <c r="U615" s="690"/>
      <c r="V615" s="690"/>
      <c r="W615" s="690"/>
      <c r="X615" s="690"/>
      <c r="Y615" s="690"/>
      <c r="Z615" s="690"/>
      <c r="AA615" s="690"/>
      <c r="AB615" s="690"/>
      <c r="AC615" s="690"/>
      <c r="AD615" s="690"/>
      <c r="AE615" s="690"/>
    </row>
    <row r="616" spans="1:31" ht="15.75" customHeight="1">
      <c r="A616" s="690"/>
      <c r="B616" s="690"/>
      <c r="C616" s="690"/>
      <c r="D616" s="690"/>
      <c r="E616" s="690"/>
      <c r="F616" s="690"/>
      <c r="G616" s="690"/>
      <c r="H616" s="690"/>
      <c r="I616" s="690"/>
      <c r="J616" s="690"/>
      <c r="K616" s="690"/>
      <c r="L616" s="690"/>
      <c r="M616" s="690"/>
      <c r="N616" s="690"/>
      <c r="O616" s="690"/>
      <c r="P616" s="690"/>
      <c r="Q616" s="690"/>
      <c r="R616" s="690"/>
      <c r="S616" s="690"/>
      <c r="T616" s="690"/>
      <c r="U616" s="690"/>
      <c r="V616" s="690"/>
      <c r="W616" s="690"/>
      <c r="X616" s="690"/>
      <c r="Y616" s="690"/>
      <c r="Z616" s="690"/>
      <c r="AA616" s="690"/>
      <c r="AB616" s="690"/>
      <c r="AC616" s="690"/>
      <c r="AD616" s="690"/>
      <c r="AE616" s="690"/>
    </row>
    <row r="617" spans="1:31" ht="15.75" customHeight="1">
      <c r="A617" s="690"/>
      <c r="B617" s="690"/>
      <c r="C617" s="690"/>
      <c r="D617" s="690"/>
      <c r="E617" s="690"/>
      <c r="F617" s="690"/>
      <c r="G617" s="690"/>
      <c r="H617" s="690"/>
      <c r="I617" s="690"/>
      <c r="J617" s="690"/>
      <c r="K617" s="690"/>
      <c r="L617" s="690"/>
      <c r="M617" s="690"/>
      <c r="N617" s="690"/>
      <c r="O617" s="690"/>
      <c r="P617" s="690"/>
      <c r="Q617" s="690"/>
      <c r="R617" s="690"/>
      <c r="S617" s="690"/>
      <c r="T617" s="690"/>
      <c r="U617" s="690"/>
      <c r="V617" s="690"/>
      <c r="W617" s="690"/>
      <c r="X617" s="690"/>
      <c r="Y617" s="690"/>
      <c r="Z617" s="690"/>
      <c r="AA617" s="690"/>
      <c r="AB617" s="690"/>
      <c r="AC617" s="690"/>
      <c r="AD617" s="690"/>
      <c r="AE617" s="690"/>
    </row>
    <row r="618" spans="1:31" ht="15.75" customHeight="1">
      <c r="A618" s="690"/>
      <c r="B618" s="690"/>
      <c r="C618" s="690"/>
      <c r="D618" s="690"/>
      <c r="E618" s="690"/>
      <c r="F618" s="690"/>
      <c r="G618" s="690"/>
      <c r="H618" s="690"/>
      <c r="I618" s="690"/>
      <c r="J618" s="690"/>
      <c r="K618" s="690"/>
      <c r="L618" s="690"/>
      <c r="M618" s="690"/>
      <c r="N618" s="690"/>
      <c r="O618" s="690"/>
      <c r="P618" s="690"/>
      <c r="Q618" s="690"/>
      <c r="R618" s="690"/>
      <c r="S618" s="690"/>
      <c r="T618" s="690"/>
      <c r="U618" s="690"/>
      <c r="V618" s="690"/>
      <c r="W618" s="690"/>
      <c r="X618" s="690"/>
      <c r="Y618" s="690"/>
      <c r="Z618" s="690"/>
      <c r="AA618" s="690"/>
      <c r="AB618" s="690"/>
      <c r="AC618" s="690"/>
      <c r="AD618" s="690"/>
      <c r="AE618" s="690"/>
    </row>
    <row r="619" spans="1:31" ht="15.75" customHeight="1">
      <c r="A619" s="690"/>
      <c r="B619" s="690"/>
      <c r="C619" s="690"/>
      <c r="D619" s="690"/>
      <c r="E619" s="690"/>
      <c r="F619" s="690"/>
      <c r="G619" s="690"/>
      <c r="H619" s="690"/>
      <c r="I619" s="690"/>
      <c r="J619" s="690"/>
      <c r="K619" s="690"/>
      <c r="L619" s="690"/>
      <c r="M619" s="690"/>
      <c r="N619" s="690"/>
      <c r="O619" s="690"/>
      <c r="P619" s="690"/>
      <c r="Q619" s="690"/>
      <c r="R619" s="690"/>
      <c r="S619" s="690"/>
      <c r="T619" s="690"/>
      <c r="U619" s="690"/>
      <c r="V619" s="690"/>
      <c r="W619" s="690"/>
      <c r="X619" s="690"/>
      <c r="Y619" s="690"/>
      <c r="Z619" s="690"/>
      <c r="AA619" s="690"/>
      <c r="AB619" s="690"/>
      <c r="AC619" s="690"/>
      <c r="AD619" s="690"/>
      <c r="AE619" s="690"/>
    </row>
    <row r="620" spans="1:31" ht="15.75" customHeight="1">
      <c r="A620" s="690"/>
      <c r="B620" s="690"/>
      <c r="C620" s="690"/>
      <c r="D620" s="690"/>
      <c r="E620" s="690"/>
      <c r="F620" s="690"/>
      <c r="G620" s="690"/>
      <c r="H620" s="690"/>
      <c r="I620" s="690"/>
      <c r="J620" s="690"/>
      <c r="K620" s="690"/>
      <c r="L620" s="690"/>
      <c r="M620" s="690"/>
      <c r="N620" s="690"/>
      <c r="O620" s="690"/>
      <c r="P620" s="690"/>
      <c r="Q620" s="690"/>
      <c r="R620" s="690"/>
      <c r="S620" s="690"/>
      <c r="T620" s="690"/>
      <c r="U620" s="690"/>
      <c r="V620" s="690"/>
      <c r="W620" s="690"/>
      <c r="X620" s="690"/>
      <c r="Y620" s="690"/>
      <c r="Z620" s="690"/>
      <c r="AA620" s="690"/>
      <c r="AB620" s="690"/>
      <c r="AC620" s="690"/>
      <c r="AD620" s="690"/>
      <c r="AE620" s="690"/>
    </row>
    <row r="621" spans="1:31" ht="15.75" customHeight="1">
      <c r="A621" s="690"/>
      <c r="B621" s="690"/>
      <c r="C621" s="690"/>
      <c r="D621" s="690"/>
      <c r="E621" s="690"/>
      <c r="F621" s="690"/>
      <c r="G621" s="690"/>
      <c r="H621" s="690"/>
      <c r="I621" s="690"/>
      <c r="J621" s="690"/>
      <c r="K621" s="690"/>
      <c r="L621" s="690"/>
      <c r="M621" s="690"/>
      <c r="N621" s="690"/>
      <c r="O621" s="690"/>
      <c r="P621" s="690"/>
      <c r="Q621" s="690"/>
      <c r="R621" s="690"/>
      <c r="S621" s="690"/>
      <c r="T621" s="690"/>
      <c r="U621" s="690"/>
      <c r="V621" s="690"/>
      <c r="W621" s="690"/>
      <c r="X621" s="690"/>
      <c r="Y621" s="690"/>
      <c r="Z621" s="690"/>
      <c r="AA621" s="690"/>
      <c r="AB621" s="690"/>
      <c r="AC621" s="690"/>
      <c r="AD621" s="690"/>
      <c r="AE621" s="690"/>
    </row>
    <row r="622" spans="1:31" ht="15.75" customHeight="1">
      <c r="A622" s="690"/>
      <c r="B622" s="690"/>
      <c r="C622" s="690"/>
      <c r="D622" s="690"/>
      <c r="E622" s="690"/>
      <c r="F622" s="690"/>
      <c r="G622" s="690"/>
      <c r="H622" s="690"/>
      <c r="I622" s="690"/>
      <c r="J622" s="690"/>
      <c r="K622" s="690"/>
      <c r="L622" s="690"/>
      <c r="M622" s="690"/>
      <c r="N622" s="690"/>
      <c r="O622" s="690"/>
      <c r="P622" s="690"/>
      <c r="Q622" s="690"/>
      <c r="R622" s="690"/>
      <c r="S622" s="690"/>
      <c r="T622" s="690"/>
      <c r="U622" s="690"/>
      <c r="V622" s="690"/>
      <c r="W622" s="690"/>
      <c r="X622" s="690"/>
      <c r="Y622" s="690"/>
      <c r="Z622" s="690"/>
      <c r="AA622" s="690"/>
      <c r="AB622" s="690"/>
      <c r="AC622" s="690"/>
      <c r="AD622" s="690"/>
      <c r="AE622" s="690"/>
    </row>
    <row r="623" spans="1:31" ht="15.75" customHeight="1">
      <c r="A623" s="690"/>
      <c r="B623" s="690"/>
      <c r="C623" s="690"/>
      <c r="D623" s="690"/>
      <c r="E623" s="690"/>
      <c r="F623" s="690"/>
      <c r="G623" s="690"/>
      <c r="H623" s="690"/>
      <c r="I623" s="690"/>
      <c r="J623" s="690"/>
      <c r="K623" s="690"/>
      <c r="L623" s="690"/>
      <c r="M623" s="690"/>
      <c r="N623" s="690"/>
      <c r="O623" s="690"/>
      <c r="P623" s="690"/>
      <c r="Q623" s="690"/>
      <c r="R623" s="690"/>
      <c r="S623" s="690"/>
      <c r="T623" s="690"/>
      <c r="U623" s="690"/>
      <c r="V623" s="690"/>
      <c r="W623" s="690"/>
      <c r="X623" s="690"/>
      <c r="Y623" s="690"/>
      <c r="Z623" s="690"/>
      <c r="AA623" s="690"/>
      <c r="AB623" s="690"/>
      <c r="AC623" s="690"/>
      <c r="AD623" s="690"/>
      <c r="AE623" s="690"/>
    </row>
    <row r="624" spans="1:31" ht="15.75" customHeight="1">
      <c r="A624" s="690"/>
      <c r="B624" s="690"/>
      <c r="C624" s="690"/>
      <c r="D624" s="690"/>
      <c r="E624" s="690"/>
      <c r="F624" s="690"/>
      <c r="G624" s="690"/>
      <c r="H624" s="690"/>
      <c r="I624" s="690"/>
      <c r="J624" s="690"/>
      <c r="K624" s="690"/>
      <c r="L624" s="690"/>
      <c r="M624" s="690"/>
      <c r="N624" s="690"/>
      <c r="O624" s="690"/>
      <c r="P624" s="690"/>
      <c r="Q624" s="690"/>
      <c r="R624" s="690"/>
      <c r="S624" s="690"/>
      <c r="T624" s="690"/>
      <c r="U624" s="690"/>
      <c r="V624" s="690"/>
      <c r="W624" s="690"/>
      <c r="X624" s="690"/>
      <c r="Y624" s="690"/>
      <c r="Z624" s="690"/>
      <c r="AA624" s="690"/>
      <c r="AB624" s="690"/>
      <c r="AC624" s="690"/>
      <c r="AD624" s="690"/>
      <c r="AE624" s="690"/>
    </row>
    <row r="625" spans="1:31" ht="15.75" customHeight="1">
      <c r="A625" s="690"/>
      <c r="B625" s="690"/>
      <c r="C625" s="690"/>
      <c r="D625" s="690"/>
      <c r="E625" s="690"/>
      <c r="F625" s="690"/>
      <c r="G625" s="690"/>
      <c r="H625" s="690"/>
      <c r="I625" s="690"/>
      <c r="J625" s="690"/>
      <c r="K625" s="690"/>
      <c r="L625" s="690"/>
      <c r="M625" s="690"/>
      <c r="N625" s="690"/>
      <c r="O625" s="690"/>
      <c r="P625" s="690"/>
      <c r="Q625" s="690"/>
      <c r="R625" s="690"/>
      <c r="S625" s="690"/>
      <c r="T625" s="690"/>
      <c r="U625" s="690"/>
      <c r="V625" s="690"/>
      <c r="W625" s="690"/>
      <c r="X625" s="690"/>
      <c r="Y625" s="690"/>
      <c r="Z625" s="690"/>
      <c r="AA625" s="690"/>
      <c r="AB625" s="690"/>
      <c r="AC625" s="690"/>
      <c r="AD625" s="690"/>
      <c r="AE625" s="690"/>
    </row>
    <row r="626" spans="1:31" ht="15.75" customHeight="1">
      <c r="A626" s="690"/>
      <c r="B626" s="690"/>
      <c r="C626" s="690"/>
      <c r="D626" s="690"/>
      <c r="E626" s="690"/>
      <c r="F626" s="690"/>
      <c r="G626" s="690"/>
      <c r="H626" s="690"/>
      <c r="I626" s="690"/>
      <c r="J626" s="690"/>
      <c r="K626" s="690"/>
      <c r="L626" s="690"/>
      <c r="M626" s="690"/>
      <c r="N626" s="690"/>
      <c r="O626" s="690"/>
      <c r="P626" s="690"/>
      <c r="Q626" s="690"/>
      <c r="R626" s="690"/>
      <c r="S626" s="690"/>
      <c r="T626" s="690"/>
      <c r="U626" s="690"/>
      <c r="V626" s="690"/>
      <c r="W626" s="690"/>
      <c r="X626" s="690"/>
      <c r="Y626" s="690"/>
      <c r="Z626" s="690"/>
      <c r="AA626" s="690"/>
      <c r="AB626" s="690"/>
      <c r="AC626" s="690"/>
      <c r="AD626" s="690"/>
      <c r="AE626" s="690"/>
    </row>
    <row r="627" spans="1:31" ht="15.75" customHeight="1">
      <c r="A627" s="690"/>
      <c r="B627" s="690"/>
      <c r="C627" s="690"/>
      <c r="D627" s="690"/>
      <c r="E627" s="690"/>
      <c r="F627" s="690"/>
      <c r="G627" s="690"/>
      <c r="H627" s="690"/>
      <c r="I627" s="690"/>
      <c r="J627" s="690"/>
      <c r="K627" s="690"/>
      <c r="L627" s="690"/>
      <c r="M627" s="690"/>
      <c r="N627" s="690"/>
      <c r="O627" s="690"/>
      <c r="P627" s="690"/>
      <c r="Q627" s="690"/>
      <c r="R627" s="690"/>
      <c r="S627" s="690"/>
      <c r="T627" s="690"/>
      <c r="U627" s="690"/>
      <c r="V627" s="690"/>
      <c r="W627" s="690"/>
      <c r="X627" s="690"/>
      <c r="Y627" s="690"/>
      <c r="Z627" s="690"/>
      <c r="AA627" s="690"/>
      <c r="AB627" s="690"/>
      <c r="AC627" s="690"/>
      <c r="AD627" s="690"/>
      <c r="AE627" s="690"/>
    </row>
    <row r="628" spans="1:31" ht="15.75" customHeight="1">
      <c r="A628" s="690"/>
      <c r="B628" s="690"/>
      <c r="C628" s="690"/>
      <c r="D628" s="690"/>
      <c r="E628" s="690"/>
      <c r="F628" s="690"/>
      <c r="G628" s="690"/>
      <c r="H628" s="690"/>
      <c r="I628" s="690"/>
      <c r="J628" s="690"/>
      <c r="K628" s="690"/>
      <c r="L628" s="690"/>
      <c r="M628" s="690"/>
      <c r="N628" s="690"/>
      <c r="O628" s="690"/>
      <c r="P628" s="690"/>
      <c r="Q628" s="690"/>
      <c r="R628" s="690"/>
      <c r="S628" s="690"/>
      <c r="T628" s="690"/>
      <c r="U628" s="690"/>
      <c r="V628" s="690"/>
      <c r="W628" s="690"/>
      <c r="X628" s="690"/>
      <c r="Y628" s="690"/>
      <c r="Z628" s="690"/>
      <c r="AA628" s="690"/>
      <c r="AB628" s="690"/>
      <c r="AC628" s="690"/>
      <c r="AD628" s="690"/>
      <c r="AE628" s="690"/>
    </row>
    <row r="629" spans="1:31" ht="15.75" customHeight="1">
      <c r="A629" s="690"/>
      <c r="B629" s="690"/>
      <c r="C629" s="690"/>
      <c r="D629" s="690"/>
      <c r="E629" s="690"/>
      <c r="F629" s="690"/>
      <c r="G629" s="690"/>
      <c r="H629" s="690"/>
      <c r="I629" s="690"/>
      <c r="J629" s="690"/>
      <c r="K629" s="690"/>
      <c r="L629" s="690"/>
      <c r="M629" s="690"/>
      <c r="N629" s="690"/>
      <c r="O629" s="690"/>
      <c r="P629" s="690"/>
      <c r="Q629" s="690"/>
      <c r="R629" s="690"/>
      <c r="S629" s="690"/>
      <c r="T629" s="690"/>
      <c r="U629" s="690"/>
      <c r="V629" s="690"/>
      <c r="W629" s="690"/>
      <c r="X629" s="690"/>
      <c r="Y629" s="690"/>
      <c r="Z629" s="690"/>
      <c r="AA629" s="690"/>
      <c r="AB629" s="690"/>
      <c r="AC629" s="690"/>
      <c r="AD629" s="690"/>
      <c r="AE629" s="690"/>
    </row>
    <row r="630" spans="1:31" ht="15.75" customHeight="1">
      <c r="A630" s="690"/>
      <c r="B630" s="690"/>
      <c r="C630" s="690"/>
      <c r="D630" s="690"/>
      <c r="E630" s="690"/>
      <c r="F630" s="690"/>
      <c r="G630" s="690"/>
      <c r="H630" s="690"/>
      <c r="I630" s="690"/>
      <c r="J630" s="690"/>
      <c r="K630" s="690"/>
      <c r="L630" s="690"/>
      <c r="M630" s="690"/>
      <c r="N630" s="690"/>
      <c r="O630" s="690"/>
      <c r="P630" s="690"/>
      <c r="Q630" s="690"/>
      <c r="R630" s="690"/>
      <c r="S630" s="690"/>
      <c r="T630" s="690"/>
      <c r="U630" s="690"/>
      <c r="V630" s="690"/>
      <c r="W630" s="690"/>
      <c r="X630" s="690"/>
      <c r="Y630" s="690"/>
      <c r="Z630" s="690"/>
      <c r="AA630" s="690"/>
      <c r="AB630" s="690"/>
      <c r="AC630" s="690"/>
      <c r="AD630" s="690"/>
      <c r="AE630" s="690"/>
    </row>
    <row r="631" spans="1:31" ht="15.75" customHeight="1">
      <c r="A631" s="690"/>
      <c r="B631" s="690"/>
      <c r="C631" s="690"/>
      <c r="D631" s="690"/>
      <c r="E631" s="690"/>
      <c r="F631" s="690"/>
      <c r="G631" s="690"/>
      <c r="H631" s="690"/>
      <c r="I631" s="690"/>
      <c r="J631" s="690"/>
      <c r="K631" s="690"/>
      <c r="L631" s="690"/>
      <c r="M631" s="690"/>
      <c r="N631" s="690"/>
      <c r="O631" s="690"/>
      <c r="P631" s="690"/>
      <c r="Q631" s="690"/>
      <c r="R631" s="690"/>
      <c r="S631" s="690"/>
      <c r="T631" s="690"/>
      <c r="U631" s="690"/>
      <c r="V631" s="690"/>
      <c r="W631" s="690"/>
      <c r="X631" s="690"/>
      <c r="Y631" s="690"/>
      <c r="Z631" s="690"/>
      <c r="AA631" s="690"/>
      <c r="AB631" s="690"/>
      <c r="AC631" s="690"/>
      <c r="AD631" s="690"/>
      <c r="AE631" s="690"/>
    </row>
    <row r="632" spans="1:31" ht="15.75" customHeight="1">
      <c r="A632" s="690"/>
      <c r="B632" s="690"/>
      <c r="C632" s="690"/>
      <c r="D632" s="690"/>
      <c r="E632" s="690"/>
      <c r="F632" s="690"/>
      <c r="G632" s="690"/>
      <c r="H632" s="690"/>
      <c r="I632" s="690"/>
      <c r="J632" s="690"/>
      <c r="K632" s="690"/>
      <c r="L632" s="690"/>
      <c r="M632" s="690"/>
      <c r="N632" s="690"/>
      <c r="O632" s="690"/>
      <c r="P632" s="690"/>
      <c r="Q632" s="690"/>
      <c r="R632" s="690"/>
      <c r="S632" s="690"/>
      <c r="T632" s="690"/>
      <c r="U632" s="690"/>
      <c r="V632" s="690"/>
      <c r="W632" s="690"/>
      <c r="X632" s="690"/>
      <c r="Y632" s="690"/>
      <c r="Z632" s="690"/>
      <c r="AA632" s="690"/>
      <c r="AB632" s="690"/>
      <c r="AC632" s="690"/>
      <c r="AD632" s="690"/>
      <c r="AE632" s="690"/>
    </row>
    <row r="633" spans="1:31" ht="15.75" customHeight="1">
      <c r="A633" s="690"/>
      <c r="B633" s="690"/>
      <c r="C633" s="690"/>
      <c r="D633" s="690"/>
      <c r="E633" s="690"/>
      <c r="F633" s="690"/>
      <c r="G633" s="690"/>
      <c r="H633" s="690"/>
      <c r="I633" s="690"/>
      <c r="J633" s="690"/>
      <c r="K633" s="690"/>
      <c r="L633" s="690"/>
      <c r="M633" s="690"/>
      <c r="N633" s="690"/>
      <c r="O633" s="690"/>
      <c r="P633" s="690"/>
      <c r="Q633" s="690"/>
      <c r="R633" s="690"/>
      <c r="S633" s="690"/>
      <c r="T633" s="690"/>
      <c r="U633" s="690"/>
      <c r="V633" s="690"/>
      <c r="W633" s="690"/>
      <c r="X633" s="690"/>
      <c r="Y633" s="690"/>
      <c r="Z633" s="690"/>
      <c r="AA633" s="690"/>
      <c r="AB633" s="690"/>
      <c r="AC633" s="690"/>
      <c r="AD633" s="690"/>
      <c r="AE633" s="690"/>
    </row>
    <row r="634" spans="1:31" ht="15.75" customHeight="1">
      <c r="A634" s="690"/>
      <c r="B634" s="690"/>
      <c r="C634" s="690"/>
      <c r="D634" s="690"/>
      <c r="E634" s="690"/>
      <c r="F634" s="690"/>
      <c r="G634" s="690"/>
      <c r="H634" s="690"/>
      <c r="I634" s="690"/>
      <c r="J634" s="690"/>
      <c r="K634" s="690"/>
      <c r="L634" s="690"/>
      <c r="M634" s="690"/>
      <c r="N634" s="690"/>
      <c r="O634" s="690"/>
      <c r="P634" s="690"/>
      <c r="Q634" s="690"/>
      <c r="R634" s="690"/>
      <c r="S634" s="690"/>
      <c r="T634" s="690"/>
      <c r="U634" s="690"/>
      <c r="V634" s="690"/>
      <c r="W634" s="690"/>
      <c r="X634" s="690"/>
      <c r="Y634" s="690"/>
      <c r="Z634" s="690"/>
      <c r="AA634" s="690"/>
      <c r="AB634" s="690"/>
      <c r="AC634" s="690"/>
      <c r="AD634" s="690"/>
      <c r="AE634" s="690"/>
    </row>
    <row r="635" spans="1:31" ht="15.75" customHeight="1">
      <c r="A635" s="690"/>
      <c r="B635" s="690"/>
      <c r="C635" s="690"/>
      <c r="D635" s="690"/>
      <c r="E635" s="690"/>
      <c r="F635" s="690"/>
      <c r="G635" s="690"/>
      <c r="H635" s="690"/>
      <c r="I635" s="690"/>
      <c r="J635" s="690"/>
      <c r="K635" s="690"/>
      <c r="L635" s="690"/>
      <c r="M635" s="690"/>
      <c r="N635" s="690"/>
      <c r="O635" s="690"/>
      <c r="P635" s="690"/>
      <c r="Q635" s="690"/>
      <c r="R635" s="690"/>
      <c r="S635" s="690"/>
      <c r="T635" s="690"/>
      <c r="U635" s="690"/>
      <c r="V635" s="690"/>
      <c r="W635" s="690"/>
      <c r="X635" s="690"/>
      <c r="Y635" s="690"/>
      <c r="Z635" s="690"/>
      <c r="AA635" s="690"/>
      <c r="AB635" s="690"/>
      <c r="AC635" s="690"/>
      <c r="AD635" s="690"/>
      <c r="AE635" s="690"/>
    </row>
    <row r="636" spans="1:31" ht="15.75" customHeight="1">
      <c r="A636" s="690"/>
      <c r="B636" s="690"/>
      <c r="C636" s="690"/>
      <c r="D636" s="690"/>
      <c r="E636" s="690"/>
      <c r="F636" s="690"/>
      <c r="G636" s="690"/>
      <c r="H636" s="690"/>
      <c r="I636" s="690"/>
      <c r="J636" s="690"/>
      <c r="K636" s="690"/>
      <c r="L636" s="690"/>
      <c r="M636" s="690"/>
      <c r="N636" s="690"/>
      <c r="O636" s="690"/>
      <c r="P636" s="690"/>
      <c r="Q636" s="690"/>
      <c r="R636" s="690"/>
      <c r="S636" s="690"/>
      <c r="T636" s="690"/>
      <c r="U636" s="690"/>
      <c r="V636" s="690"/>
      <c r="W636" s="690"/>
      <c r="X636" s="690"/>
      <c r="Y636" s="690"/>
      <c r="Z636" s="690"/>
      <c r="AA636" s="690"/>
      <c r="AB636" s="690"/>
      <c r="AC636" s="690"/>
      <c r="AD636" s="690"/>
      <c r="AE636" s="690"/>
    </row>
    <row r="637" spans="1:31" ht="15.75" customHeight="1">
      <c r="A637" s="690"/>
      <c r="B637" s="690"/>
      <c r="C637" s="690"/>
      <c r="D637" s="690"/>
      <c r="E637" s="690"/>
      <c r="F637" s="690"/>
      <c r="G637" s="690"/>
      <c r="H637" s="690"/>
      <c r="I637" s="690"/>
      <c r="J637" s="690"/>
      <c r="K637" s="690"/>
      <c r="L637" s="690"/>
      <c r="M637" s="690"/>
      <c r="N637" s="690"/>
      <c r="O637" s="690"/>
      <c r="P637" s="690"/>
      <c r="Q637" s="690"/>
      <c r="R637" s="690"/>
      <c r="S637" s="690"/>
      <c r="T637" s="690"/>
      <c r="U637" s="690"/>
      <c r="V637" s="690"/>
      <c r="W637" s="690"/>
      <c r="X637" s="690"/>
      <c r="Y637" s="690"/>
      <c r="Z637" s="690"/>
      <c r="AA637" s="690"/>
      <c r="AB637" s="690"/>
      <c r="AC637" s="690"/>
      <c r="AD637" s="690"/>
      <c r="AE637" s="690"/>
    </row>
    <row r="638" spans="1:31" ht="15.75" customHeight="1">
      <c r="A638" s="690"/>
      <c r="B638" s="690"/>
      <c r="C638" s="690"/>
      <c r="D638" s="690"/>
      <c r="E638" s="690"/>
      <c r="F638" s="690"/>
      <c r="G638" s="690"/>
      <c r="H638" s="690"/>
      <c r="I638" s="690"/>
      <c r="J638" s="690"/>
      <c r="K638" s="690"/>
      <c r="L638" s="690"/>
      <c r="M638" s="690"/>
      <c r="N638" s="690"/>
      <c r="O638" s="690"/>
      <c r="P638" s="690"/>
      <c r="Q638" s="690"/>
      <c r="R638" s="690"/>
      <c r="S638" s="690"/>
      <c r="T638" s="690"/>
      <c r="U638" s="690"/>
      <c r="V638" s="690"/>
      <c r="W638" s="690"/>
      <c r="X638" s="690"/>
      <c r="Y638" s="690"/>
      <c r="Z638" s="690"/>
      <c r="AA638" s="690"/>
      <c r="AB638" s="690"/>
      <c r="AC638" s="690"/>
      <c r="AD638" s="690"/>
      <c r="AE638" s="690"/>
    </row>
    <row r="639" spans="1:31" ht="15.75" customHeight="1">
      <c r="A639" s="690"/>
      <c r="B639" s="690"/>
      <c r="C639" s="690"/>
      <c r="D639" s="690"/>
      <c r="E639" s="690"/>
      <c r="F639" s="690"/>
      <c r="G639" s="690"/>
      <c r="H639" s="690"/>
      <c r="I639" s="690"/>
      <c r="J639" s="690"/>
      <c r="K639" s="690"/>
      <c r="L639" s="690"/>
      <c r="M639" s="690"/>
      <c r="N639" s="690"/>
      <c r="O639" s="690"/>
      <c r="P639" s="690"/>
      <c r="Q639" s="690"/>
      <c r="R639" s="690"/>
      <c r="S639" s="690"/>
      <c r="T639" s="690"/>
      <c r="U639" s="690"/>
      <c r="V639" s="690"/>
      <c r="W639" s="690"/>
      <c r="X639" s="690"/>
      <c r="Y639" s="690"/>
      <c r="Z639" s="690"/>
      <c r="AA639" s="690"/>
      <c r="AB639" s="690"/>
      <c r="AC639" s="690"/>
      <c r="AD639" s="690"/>
      <c r="AE639" s="690"/>
    </row>
    <row r="640" spans="1:31" ht="15.75" customHeight="1">
      <c r="A640" s="690"/>
      <c r="B640" s="690"/>
      <c r="C640" s="690"/>
      <c r="D640" s="690"/>
      <c r="E640" s="690"/>
      <c r="F640" s="690"/>
      <c r="G640" s="690"/>
      <c r="H640" s="690"/>
      <c r="I640" s="690"/>
      <c r="J640" s="690"/>
      <c r="K640" s="690"/>
      <c r="L640" s="690"/>
      <c r="M640" s="690"/>
      <c r="N640" s="690"/>
      <c r="O640" s="690"/>
      <c r="P640" s="690"/>
      <c r="Q640" s="690"/>
      <c r="R640" s="690"/>
      <c r="S640" s="690"/>
      <c r="T640" s="690"/>
      <c r="U640" s="690"/>
      <c r="V640" s="690"/>
      <c r="W640" s="690"/>
      <c r="X640" s="690"/>
      <c r="Y640" s="690"/>
      <c r="Z640" s="690"/>
      <c r="AA640" s="690"/>
      <c r="AB640" s="690"/>
      <c r="AC640" s="690"/>
      <c r="AD640" s="690"/>
      <c r="AE640" s="690"/>
    </row>
    <row r="641" spans="1:31" ht="15.75" customHeight="1">
      <c r="A641" s="690"/>
      <c r="B641" s="690"/>
      <c r="C641" s="690"/>
      <c r="D641" s="690"/>
      <c r="E641" s="690"/>
      <c r="F641" s="690"/>
      <c r="G641" s="690"/>
      <c r="H641" s="690"/>
      <c r="I641" s="690"/>
      <c r="J641" s="690"/>
      <c r="K641" s="690"/>
      <c r="L641" s="690"/>
      <c r="M641" s="690"/>
      <c r="N641" s="690"/>
      <c r="O641" s="690"/>
      <c r="P641" s="690"/>
      <c r="Q641" s="690"/>
      <c r="R641" s="690"/>
      <c r="S641" s="690"/>
      <c r="T641" s="690"/>
      <c r="U641" s="690"/>
      <c r="V641" s="690"/>
      <c r="W641" s="690"/>
      <c r="X641" s="690"/>
      <c r="Y641" s="690"/>
      <c r="Z641" s="690"/>
      <c r="AA641" s="690"/>
      <c r="AB641" s="690"/>
      <c r="AC641" s="690"/>
      <c r="AD641" s="690"/>
      <c r="AE641" s="690"/>
    </row>
    <row r="642" spans="1:31" ht="15.75" customHeight="1">
      <c r="A642" s="690"/>
      <c r="B642" s="690"/>
      <c r="C642" s="690"/>
      <c r="D642" s="690"/>
      <c r="E642" s="690"/>
      <c r="F642" s="690"/>
      <c r="G642" s="690"/>
      <c r="H642" s="690"/>
      <c r="I642" s="690"/>
      <c r="J642" s="690"/>
      <c r="K642" s="690"/>
      <c r="L642" s="690"/>
      <c r="M642" s="690"/>
      <c r="N642" s="690"/>
      <c r="O642" s="690"/>
      <c r="P642" s="690"/>
      <c r="Q642" s="690"/>
      <c r="R642" s="690"/>
      <c r="S642" s="690"/>
      <c r="T642" s="690"/>
      <c r="U642" s="690"/>
      <c r="V642" s="690"/>
      <c r="W642" s="690"/>
      <c r="X642" s="690"/>
      <c r="Y642" s="690"/>
      <c r="Z642" s="690"/>
      <c r="AA642" s="690"/>
      <c r="AB642" s="690"/>
      <c r="AC642" s="690"/>
      <c r="AD642" s="690"/>
      <c r="AE642" s="690"/>
    </row>
    <row r="643" spans="1:31" ht="15.75" customHeight="1">
      <c r="A643" s="690"/>
      <c r="B643" s="690"/>
      <c r="C643" s="690"/>
      <c r="D643" s="690"/>
      <c r="E643" s="690"/>
      <c r="F643" s="690"/>
      <c r="G643" s="690"/>
      <c r="H643" s="690"/>
      <c r="I643" s="690"/>
      <c r="J643" s="690"/>
      <c r="K643" s="690"/>
      <c r="L643" s="690"/>
      <c r="M643" s="690"/>
      <c r="N643" s="690"/>
      <c r="O643" s="690"/>
      <c r="P643" s="690"/>
      <c r="Q643" s="690"/>
      <c r="R643" s="690"/>
      <c r="S643" s="690"/>
      <c r="T643" s="690"/>
      <c r="U643" s="690"/>
      <c r="V643" s="690"/>
      <c r="W643" s="690"/>
      <c r="X643" s="690"/>
      <c r="Y643" s="690"/>
      <c r="Z643" s="690"/>
      <c r="AA643" s="690"/>
      <c r="AB643" s="690"/>
      <c r="AC643" s="690"/>
      <c r="AD643" s="690"/>
      <c r="AE643" s="690"/>
    </row>
    <row r="644" spans="1:31" ht="15.75" customHeight="1">
      <c r="A644" s="690"/>
      <c r="B644" s="690"/>
      <c r="C644" s="690"/>
      <c r="D644" s="690"/>
      <c r="E644" s="690"/>
      <c r="F644" s="690"/>
      <c r="G644" s="690"/>
      <c r="H644" s="690"/>
      <c r="I644" s="690"/>
      <c r="J644" s="690"/>
      <c r="K644" s="690"/>
      <c r="L644" s="690"/>
      <c r="M644" s="690"/>
      <c r="N644" s="690"/>
      <c r="O644" s="690"/>
      <c r="P644" s="690"/>
      <c r="Q644" s="690"/>
      <c r="R644" s="690"/>
      <c r="S644" s="690"/>
      <c r="T644" s="690"/>
      <c r="U644" s="690"/>
      <c r="V644" s="690"/>
      <c r="W644" s="690"/>
      <c r="X644" s="690"/>
      <c r="Y644" s="690"/>
      <c r="Z644" s="690"/>
      <c r="AA644" s="690"/>
      <c r="AB644" s="690"/>
      <c r="AC644" s="690"/>
      <c r="AD644" s="690"/>
      <c r="AE644" s="690"/>
    </row>
    <row r="645" spans="1:31" ht="15.75" customHeight="1">
      <c r="A645" s="690"/>
      <c r="B645" s="690"/>
      <c r="C645" s="690"/>
      <c r="D645" s="690"/>
      <c r="E645" s="690"/>
      <c r="F645" s="690"/>
      <c r="G645" s="690"/>
      <c r="H645" s="690"/>
      <c r="I645" s="690"/>
      <c r="J645" s="690"/>
      <c r="K645" s="690"/>
      <c r="L645" s="690"/>
      <c r="M645" s="690"/>
      <c r="N645" s="690"/>
      <c r="O645" s="690"/>
      <c r="P645" s="690"/>
      <c r="Q645" s="690"/>
      <c r="R645" s="690"/>
      <c r="S645" s="690"/>
      <c r="T645" s="690"/>
      <c r="U645" s="690"/>
      <c r="V645" s="690"/>
      <c r="W645" s="690"/>
      <c r="X645" s="690"/>
      <c r="Y645" s="690"/>
      <c r="Z645" s="690"/>
      <c r="AA645" s="690"/>
      <c r="AB645" s="690"/>
      <c r="AC645" s="690"/>
      <c r="AD645" s="690"/>
      <c r="AE645" s="690"/>
    </row>
    <row r="646" spans="1:31" ht="15.75" customHeight="1">
      <c r="A646" s="690"/>
      <c r="B646" s="690"/>
      <c r="C646" s="690"/>
      <c r="D646" s="690"/>
      <c r="E646" s="690"/>
      <c r="F646" s="690"/>
      <c r="G646" s="690"/>
      <c r="H646" s="690"/>
      <c r="I646" s="690"/>
      <c r="J646" s="690"/>
      <c r="K646" s="690"/>
      <c r="L646" s="690"/>
      <c r="M646" s="690"/>
      <c r="N646" s="690"/>
      <c r="O646" s="690"/>
      <c r="P646" s="690"/>
      <c r="Q646" s="690"/>
      <c r="R646" s="690"/>
      <c r="S646" s="690"/>
      <c r="T646" s="690"/>
      <c r="U646" s="690"/>
      <c r="V646" s="690"/>
      <c r="W646" s="690"/>
      <c r="X646" s="690"/>
      <c r="Y646" s="690"/>
      <c r="Z646" s="690"/>
      <c r="AA646" s="690"/>
      <c r="AB646" s="690"/>
      <c r="AC646" s="690"/>
      <c r="AD646" s="690"/>
      <c r="AE646" s="690"/>
    </row>
    <row r="647" spans="1:31" ht="15.75" customHeight="1">
      <c r="A647" s="690"/>
      <c r="B647" s="690"/>
      <c r="C647" s="690"/>
      <c r="D647" s="690"/>
      <c r="E647" s="690"/>
      <c r="F647" s="690"/>
      <c r="G647" s="690"/>
      <c r="H647" s="690"/>
      <c r="I647" s="690"/>
      <c r="J647" s="690"/>
      <c r="K647" s="690"/>
      <c r="L647" s="690"/>
      <c r="M647" s="690"/>
      <c r="N647" s="690"/>
      <c r="O647" s="690"/>
      <c r="P647" s="690"/>
      <c r="Q647" s="690"/>
      <c r="R647" s="690"/>
      <c r="S647" s="690"/>
      <c r="T647" s="690"/>
      <c r="U647" s="690"/>
      <c r="V647" s="690"/>
      <c r="W647" s="690"/>
      <c r="X647" s="690"/>
      <c r="Y647" s="690"/>
      <c r="Z647" s="690"/>
      <c r="AA647" s="690"/>
      <c r="AB647" s="690"/>
      <c r="AC647" s="690"/>
      <c r="AD647" s="690"/>
      <c r="AE647" s="690"/>
    </row>
    <row r="648" spans="1:31" ht="15.75" customHeight="1">
      <c r="A648" s="690"/>
      <c r="B648" s="690"/>
      <c r="C648" s="690"/>
      <c r="D648" s="690"/>
      <c r="E648" s="690"/>
      <c r="F648" s="690"/>
      <c r="G648" s="690"/>
      <c r="H648" s="690"/>
      <c r="I648" s="690"/>
      <c r="J648" s="690"/>
      <c r="K648" s="690"/>
      <c r="L648" s="690"/>
      <c r="M648" s="690"/>
      <c r="N648" s="690"/>
      <c r="O648" s="690"/>
      <c r="P648" s="690"/>
      <c r="Q648" s="690"/>
      <c r="R648" s="690"/>
      <c r="S648" s="690"/>
      <c r="T648" s="690"/>
      <c r="U648" s="690"/>
      <c r="V648" s="690"/>
      <c r="W648" s="690"/>
      <c r="X648" s="690"/>
      <c r="Y648" s="690"/>
      <c r="Z648" s="690"/>
      <c r="AA648" s="690"/>
      <c r="AB648" s="690"/>
      <c r="AC648" s="690"/>
      <c r="AD648" s="690"/>
      <c r="AE648" s="690"/>
    </row>
    <row r="649" spans="1:31" ht="15.75" customHeight="1">
      <c r="A649" s="690"/>
      <c r="B649" s="690"/>
      <c r="C649" s="690"/>
      <c r="D649" s="690"/>
      <c r="E649" s="690"/>
      <c r="F649" s="690"/>
      <c r="G649" s="690"/>
      <c r="H649" s="690"/>
      <c r="I649" s="690"/>
      <c r="J649" s="690"/>
      <c r="K649" s="690"/>
      <c r="L649" s="690"/>
      <c r="M649" s="690"/>
      <c r="N649" s="690"/>
      <c r="O649" s="690"/>
      <c r="P649" s="690"/>
      <c r="Q649" s="690"/>
      <c r="R649" s="690"/>
      <c r="S649" s="690"/>
      <c r="T649" s="690"/>
      <c r="U649" s="690"/>
      <c r="V649" s="690"/>
      <c r="W649" s="690"/>
      <c r="X649" s="690"/>
      <c r="Y649" s="690"/>
      <c r="Z649" s="690"/>
      <c r="AA649" s="690"/>
      <c r="AB649" s="690"/>
      <c r="AC649" s="690"/>
      <c r="AD649" s="690"/>
      <c r="AE649" s="690"/>
    </row>
    <row r="650" spans="1:31" ht="15.75" customHeight="1">
      <c r="A650" s="690"/>
      <c r="B650" s="690"/>
      <c r="C650" s="690"/>
      <c r="D650" s="690"/>
      <c r="E650" s="690"/>
      <c r="F650" s="690"/>
      <c r="G650" s="690"/>
      <c r="H650" s="690"/>
      <c r="I650" s="690"/>
      <c r="J650" s="690"/>
      <c r="K650" s="690"/>
      <c r="L650" s="690"/>
      <c r="M650" s="690"/>
      <c r="N650" s="690"/>
      <c r="O650" s="690"/>
      <c r="P650" s="690"/>
      <c r="Q650" s="690"/>
      <c r="R650" s="690"/>
      <c r="S650" s="690"/>
      <c r="T650" s="690"/>
      <c r="U650" s="690"/>
      <c r="V650" s="690"/>
      <c r="W650" s="690"/>
      <c r="X650" s="690"/>
      <c r="Y650" s="690"/>
      <c r="Z650" s="690"/>
      <c r="AA650" s="690"/>
      <c r="AB650" s="690"/>
      <c r="AC650" s="690"/>
      <c r="AD650" s="690"/>
      <c r="AE650" s="690"/>
    </row>
    <row r="651" spans="1:31" ht="15.75" customHeight="1">
      <c r="A651" s="690"/>
      <c r="B651" s="690"/>
      <c r="C651" s="690"/>
      <c r="D651" s="690"/>
      <c r="E651" s="690"/>
      <c r="F651" s="690"/>
      <c r="G651" s="690"/>
      <c r="H651" s="690"/>
      <c r="I651" s="690"/>
      <c r="J651" s="690"/>
      <c r="K651" s="690"/>
      <c r="L651" s="690"/>
      <c r="M651" s="690"/>
      <c r="N651" s="690"/>
      <c r="O651" s="690"/>
      <c r="P651" s="690"/>
      <c r="Q651" s="690"/>
      <c r="R651" s="690"/>
      <c r="S651" s="690"/>
      <c r="T651" s="690"/>
      <c r="U651" s="690"/>
      <c r="V651" s="690"/>
      <c r="W651" s="690"/>
      <c r="X651" s="690"/>
      <c r="Y651" s="690"/>
      <c r="Z651" s="690"/>
      <c r="AA651" s="690"/>
      <c r="AB651" s="690"/>
      <c r="AC651" s="690"/>
      <c r="AD651" s="690"/>
      <c r="AE651" s="690"/>
    </row>
    <row r="652" spans="1:31" ht="15.75" customHeight="1">
      <c r="A652" s="690"/>
      <c r="B652" s="690"/>
      <c r="C652" s="690"/>
      <c r="D652" s="690"/>
      <c r="E652" s="690"/>
      <c r="F652" s="690"/>
      <c r="G652" s="690"/>
      <c r="H652" s="690"/>
      <c r="I652" s="690"/>
      <c r="J652" s="690"/>
      <c r="K652" s="690"/>
      <c r="L652" s="690"/>
      <c r="M652" s="690"/>
      <c r="N652" s="690"/>
      <c r="O652" s="690"/>
      <c r="P652" s="690"/>
      <c r="Q652" s="690"/>
      <c r="R652" s="690"/>
      <c r="S652" s="690"/>
      <c r="T652" s="690"/>
      <c r="U652" s="690"/>
      <c r="V652" s="690"/>
      <c r="W652" s="690"/>
      <c r="X652" s="690"/>
      <c r="Y652" s="690"/>
      <c r="Z652" s="690"/>
      <c r="AA652" s="690"/>
      <c r="AB652" s="690"/>
      <c r="AC652" s="690"/>
      <c r="AD652" s="690"/>
      <c r="AE652" s="690"/>
    </row>
    <row r="653" spans="1:31" ht="15.75" customHeight="1">
      <c r="A653" s="690"/>
      <c r="B653" s="690"/>
      <c r="C653" s="690"/>
      <c r="D653" s="690"/>
      <c r="E653" s="690"/>
      <c r="F653" s="690"/>
      <c r="G653" s="690"/>
      <c r="H653" s="690"/>
      <c r="I653" s="690"/>
      <c r="J653" s="690"/>
      <c r="K653" s="690"/>
      <c r="L653" s="690"/>
      <c r="M653" s="690"/>
      <c r="N653" s="690"/>
      <c r="O653" s="690"/>
      <c r="P653" s="690"/>
      <c r="Q653" s="690"/>
      <c r="R653" s="690"/>
      <c r="S653" s="690"/>
      <c r="T653" s="690"/>
      <c r="U653" s="690"/>
      <c r="V653" s="690"/>
      <c r="W653" s="690"/>
      <c r="X653" s="690"/>
      <c r="Y653" s="690"/>
      <c r="Z653" s="690"/>
      <c r="AA653" s="690"/>
      <c r="AB653" s="690"/>
      <c r="AC653" s="690"/>
      <c r="AD653" s="690"/>
      <c r="AE653" s="690"/>
    </row>
    <row r="654" spans="1:31" ht="15.75" customHeight="1">
      <c r="A654" s="690"/>
      <c r="B654" s="690"/>
      <c r="C654" s="690"/>
      <c r="D654" s="690"/>
      <c r="E654" s="690"/>
      <c r="F654" s="690"/>
      <c r="G654" s="690"/>
      <c r="H654" s="690"/>
      <c r="I654" s="690"/>
      <c r="J654" s="690"/>
      <c r="K654" s="690"/>
      <c r="L654" s="690"/>
      <c r="M654" s="690"/>
      <c r="N654" s="690"/>
      <c r="O654" s="690"/>
      <c r="P654" s="690"/>
      <c r="Q654" s="690"/>
      <c r="R654" s="690"/>
      <c r="S654" s="690"/>
      <c r="T654" s="690"/>
      <c r="U654" s="690"/>
      <c r="V654" s="690"/>
      <c r="W654" s="690"/>
      <c r="X654" s="690"/>
      <c r="Y654" s="690"/>
      <c r="Z654" s="690"/>
      <c r="AA654" s="690"/>
      <c r="AB654" s="690"/>
      <c r="AC654" s="690"/>
      <c r="AD654" s="690"/>
      <c r="AE654" s="690"/>
    </row>
    <row r="655" spans="1:31" ht="15.75" customHeight="1">
      <c r="A655" s="690"/>
      <c r="B655" s="690"/>
      <c r="C655" s="690"/>
      <c r="D655" s="690"/>
      <c r="E655" s="690"/>
      <c r="F655" s="690"/>
      <c r="G655" s="690"/>
      <c r="H655" s="690"/>
      <c r="I655" s="690"/>
      <c r="J655" s="690"/>
      <c r="K655" s="690"/>
      <c r="L655" s="690"/>
      <c r="M655" s="690"/>
      <c r="N655" s="690"/>
      <c r="O655" s="690"/>
      <c r="P655" s="690"/>
      <c r="Q655" s="690"/>
      <c r="R655" s="690"/>
      <c r="S655" s="690"/>
      <c r="T655" s="690"/>
      <c r="U655" s="690"/>
      <c r="V655" s="690"/>
      <c r="W655" s="690"/>
      <c r="X655" s="690"/>
      <c r="Y655" s="690"/>
      <c r="Z655" s="690"/>
      <c r="AA655" s="690"/>
      <c r="AB655" s="690"/>
      <c r="AC655" s="690"/>
      <c r="AD655" s="690"/>
      <c r="AE655" s="690"/>
    </row>
    <row r="656" spans="1:31" ht="15.75" customHeight="1">
      <c r="A656" s="690"/>
      <c r="B656" s="690"/>
      <c r="C656" s="690"/>
      <c r="D656" s="690"/>
      <c r="E656" s="690"/>
      <c r="F656" s="690"/>
      <c r="G656" s="690"/>
      <c r="H656" s="690"/>
      <c r="I656" s="690"/>
      <c r="J656" s="690"/>
      <c r="K656" s="690"/>
      <c r="L656" s="690"/>
      <c r="M656" s="690"/>
      <c r="N656" s="690"/>
      <c r="O656" s="690"/>
      <c r="P656" s="690"/>
      <c r="Q656" s="690"/>
      <c r="R656" s="690"/>
      <c r="S656" s="690"/>
      <c r="T656" s="690"/>
      <c r="U656" s="690"/>
      <c r="V656" s="690"/>
      <c r="W656" s="690"/>
      <c r="X656" s="690"/>
      <c r="Y656" s="690"/>
      <c r="Z656" s="690"/>
      <c r="AA656" s="690"/>
      <c r="AB656" s="690"/>
      <c r="AC656" s="690"/>
      <c r="AD656" s="690"/>
      <c r="AE656" s="690"/>
    </row>
    <row r="657" spans="1:31" ht="15.75" customHeight="1">
      <c r="A657" s="690"/>
      <c r="B657" s="690"/>
      <c r="C657" s="690"/>
      <c r="D657" s="690"/>
      <c r="E657" s="690"/>
      <c r="F657" s="690"/>
      <c r="G657" s="690"/>
      <c r="H657" s="690"/>
      <c r="I657" s="690"/>
      <c r="J657" s="690"/>
      <c r="K657" s="690"/>
      <c r="L657" s="690"/>
      <c r="M657" s="690"/>
      <c r="N657" s="690"/>
      <c r="O657" s="690"/>
      <c r="P657" s="690"/>
      <c r="Q657" s="690"/>
      <c r="R657" s="690"/>
      <c r="S657" s="690"/>
      <c r="T657" s="690"/>
      <c r="U657" s="690"/>
      <c r="V657" s="690"/>
      <c r="W657" s="690"/>
      <c r="X657" s="690"/>
      <c r="Y657" s="690"/>
      <c r="Z657" s="690"/>
      <c r="AA657" s="690"/>
      <c r="AB657" s="690"/>
      <c r="AC657" s="690"/>
      <c r="AD657" s="690"/>
      <c r="AE657" s="690"/>
    </row>
    <row r="658" spans="1:31" ht="15.75" customHeight="1">
      <c r="A658" s="690"/>
      <c r="B658" s="690"/>
      <c r="C658" s="690"/>
      <c r="D658" s="690"/>
      <c r="E658" s="690"/>
      <c r="F658" s="690"/>
      <c r="G658" s="690"/>
      <c r="H658" s="690"/>
      <c r="I658" s="690"/>
      <c r="J658" s="690"/>
      <c r="K658" s="690"/>
      <c r="L658" s="690"/>
      <c r="M658" s="690"/>
      <c r="N658" s="690"/>
      <c r="O658" s="690"/>
      <c r="P658" s="690"/>
      <c r="Q658" s="690"/>
      <c r="R658" s="690"/>
      <c r="S658" s="690"/>
      <c r="T658" s="690"/>
      <c r="U658" s="690"/>
      <c r="V658" s="690"/>
      <c r="W658" s="690"/>
      <c r="X658" s="690"/>
      <c r="Y658" s="690"/>
      <c r="Z658" s="690"/>
      <c r="AA658" s="690"/>
      <c r="AB658" s="690"/>
      <c r="AC658" s="690"/>
      <c r="AD658" s="690"/>
      <c r="AE658" s="690"/>
    </row>
    <row r="659" spans="1:31" ht="15.75" customHeight="1">
      <c r="A659" s="690"/>
      <c r="B659" s="690"/>
      <c r="C659" s="690"/>
      <c r="D659" s="690"/>
      <c r="E659" s="690"/>
      <c r="F659" s="690"/>
      <c r="G659" s="690"/>
      <c r="H659" s="690"/>
      <c r="I659" s="690"/>
      <c r="J659" s="690"/>
      <c r="K659" s="690"/>
      <c r="L659" s="690"/>
      <c r="M659" s="690"/>
      <c r="N659" s="690"/>
      <c r="O659" s="690"/>
      <c r="P659" s="690"/>
      <c r="Q659" s="690"/>
      <c r="R659" s="690"/>
      <c r="S659" s="690"/>
      <c r="T659" s="690"/>
      <c r="U659" s="690"/>
      <c r="V659" s="690"/>
      <c r="W659" s="690"/>
      <c r="X659" s="690"/>
      <c r="Y659" s="690"/>
      <c r="Z659" s="690"/>
      <c r="AA659" s="690"/>
      <c r="AB659" s="690"/>
      <c r="AC659" s="690"/>
      <c r="AD659" s="690"/>
      <c r="AE659" s="690"/>
    </row>
    <row r="660" spans="1:31" ht="15.75" customHeight="1">
      <c r="A660" s="690"/>
      <c r="B660" s="690"/>
      <c r="C660" s="690"/>
      <c r="D660" s="690"/>
      <c r="E660" s="690"/>
      <c r="F660" s="690"/>
      <c r="G660" s="690"/>
      <c r="H660" s="690"/>
      <c r="I660" s="690"/>
      <c r="J660" s="690"/>
      <c r="K660" s="690"/>
      <c r="L660" s="690"/>
      <c r="M660" s="690"/>
      <c r="N660" s="690"/>
      <c r="O660" s="690"/>
      <c r="P660" s="690"/>
      <c r="Q660" s="690"/>
      <c r="R660" s="690"/>
      <c r="S660" s="690"/>
      <c r="T660" s="690"/>
      <c r="U660" s="690"/>
      <c r="V660" s="690"/>
      <c r="W660" s="690"/>
      <c r="X660" s="690"/>
      <c r="Y660" s="690"/>
      <c r="Z660" s="690"/>
      <c r="AA660" s="690"/>
      <c r="AB660" s="690"/>
      <c r="AC660" s="690"/>
      <c r="AD660" s="690"/>
      <c r="AE660" s="690"/>
    </row>
    <row r="661" spans="1:31" ht="15.75" customHeight="1">
      <c r="A661" s="690"/>
      <c r="B661" s="690"/>
      <c r="C661" s="690"/>
      <c r="D661" s="690"/>
      <c r="E661" s="690"/>
      <c r="F661" s="690"/>
      <c r="G661" s="690"/>
      <c r="H661" s="690"/>
      <c r="I661" s="690"/>
      <c r="J661" s="690"/>
      <c r="K661" s="690"/>
      <c r="L661" s="690"/>
      <c r="M661" s="690"/>
      <c r="N661" s="690"/>
      <c r="O661" s="690"/>
      <c r="P661" s="690"/>
      <c r="Q661" s="690"/>
      <c r="R661" s="690"/>
      <c r="S661" s="690"/>
      <c r="T661" s="690"/>
      <c r="U661" s="690"/>
      <c r="V661" s="690"/>
      <c r="W661" s="690"/>
      <c r="X661" s="690"/>
      <c r="Y661" s="690"/>
      <c r="Z661" s="690"/>
      <c r="AA661" s="690"/>
      <c r="AB661" s="690"/>
      <c r="AC661" s="690"/>
      <c r="AD661" s="690"/>
      <c r="AE661" s="690"/>
    </row>
    <row r="662" spans="1:31" ht="15.75" customHeight="1">
      <c r="A662" s="690"/>
      <c r="B662" s="690"/>
      <c r="C662" s="690"/>
      <c r="D662" s="690"/>
      <c r="E662" s="690"/>
      <c r="F662" s="690"/>
      <c r="G662" s="690"/>
      <c r="H662" s="690"/>
      <c r="I662" s="690"/>
      <c r="J662" s="690"/>
      <c r="K662" s="690"/>
      <c r="L662" s="690"/>
      <c r="M662" s="690"/>
      <c r="N662" s="690"/>
      <c r="O662" s="690"/>
      <c r="P662" s="690"/>
      <c r="Q662" s="690"/>
      <c r="R662" s="690"/>
      <c r="S662" s="690"/>
      <c r="T662" s="690"/>
      <c r="U662" s="690"/>
      <c r="V662" s="690"/>
      <c r="W662" s="690"/>
      <c r="X662" s="690"/>
      <c r="Y662" s="690"/>
      <c r="Z662" s="690"/>
      <c r="AA662" s="690"/>
      <c r="AB662" s="690"/>
      <c r="AC662" s="690"/>
      <c r="AD662" s="690"/>
      <c r="AE662" s="690"/>
    </row>
    <row r="663" spans="1:31" ht="15.75" customHeight="1">
      <c r="A663" s="690"/>
      <c r="B663" s="690"/>
      <c r="C663" s="690"/>
      <c r="D663" s="690"/>
      <c r="E663" s="690"/>
      <c r="F663" s="690"/>
      <c r="G663" s="690"/>
      <c r="H663" s="690"/>
      <c r="I663" s="690"/>
      <c r="J663" s="690"/>
      <c r="K663" s="690"/>
      <c r="L663" s="690"/>
      <c r="M663" s="690"/>
      <c r="N663" s="690"/>
      <c r="O663" s="690"/>
      <c r="P663" s="690"/>
      <c r="Q663" s="690"/>
      <c r="R663" s="690"/>
      <c r="S663" s="690"/>
      <c r="T663" s="690"/>
      <c r="U663" s="690"/>
      <c r="V663" s="690"/>
      <c r="W663" s="690"/>
      <c r="X663" s="690"/>
      <c r="Y663" s="690"/>
      <c r="Z663" s="690"/>
      <c r="AA663" s="690"/>
      <c r="AB663" s="690"/>
      <c r="AC663" s="690"/>
      <c r="AD663" s="690"/>
      <c r="AE663" s="690"/>
    </row>
    <row r="664" spans="1:31" ht="15.75" customHeight="1">
      <c r="A664" s="690"/>
      <c r="B664" s="690"/>
      <c r="C664" s="690"/>
      <c r="D664" s="690"/>
      <c r="E664" s="690"/>
      <c r="F664" s="690"/>
      <c r="G664" s="690"/>
      <c r="H664" s="690"/>
      <c r="I664" s="690"/>
      <c r="J664" s="690"/>
      <c r="K664" s="690"/>
      <c r="L664" s="690"/>
      <c r="M664" s="690"/>
      <c r="N664" s="690"/>
      <c r="O664" s="690"/>
      <c r="P664" s="690"/>
      <c r="Q664" s="690"/>
      <c r="R664" s="690"/>
      <c r="S664" s="690"/>
      <c r="T664" s="690"/>
      <c r="U664" s="690"/>
      <c r="V664" s="690"/>
      <c r="W664" s="690"/>
      <c r="X664" s="690"/>
      <c r="Y664" s="690"/>
      <c r="Z664" s="690"/>
      <c r="AA664" s="690"/>
      <c r="AB664" s="690"/>
      <c r="AC664" s="690"/>
      <c r="AD664" s="690"/>
      <c r="AE664" s="690"/>
    </row>
    <row r="665" spans="1:31" ht="15.75" customHeight="1">
      <c r="A665" s="690"/>
      <c r="B665" s="690"/>
      <c r="C665" s="690"/>
      <c r="D665" s="690"/>
      <c r="E665" s="690"/>
      <c r="F665" s="690"/>
      <c r="G665" s="690"/>
      <c r="H665" s="690"/>
      <c r="I665" s="690"/>
      <c r="J665" s="690"/>
      <c r="K665" s="690"/>
      <c r="L665" s="690"/>
      <c r="M665" s="690"/>
      <c r="N665" s="690"/>
      <c r="O665" s="690"/>
      <c r="P665" s="690"/>
      <c r="Q665" s="690"/>
      <c r="R665" s="690"/>
      <c r="S665" s="690"/>
      <c r="T665" s="690"/>
      <c r="U665" s="690"/>
      <c r="V665" s="690"/>
      <c r="W665" s="690"/>
      <c r="X665" s="690"/>
      <c r="Y665" s="690"/>
      <c r="Z665" s="690"/>
      <c r="AA665" s="690"/>
      <c r="AB665" s="690"/>
      <c r="AC665" s="690"/>
      <c r="AD665" s="690"/>
      <c r="AE665" s="690"/>
    </row>
    <row r="666" spans="1:31" ht="15.75" customHeight="1">
      <c r="A666" s="690"/>
      <c r="B666" s="690"/>
      <c r="C666" s="690"/>
      <c r="D666" s="690"/>
      <c r="E666" s="690"/>
      <c r="F666" s="690"/>
      <c r="G666" s="690"/>
      <c r="H666" s="690"/>
      <c r="I666" s="690"/>
      <c r="J666" s="690"/>
      <c r="K666" s="690"/>
      <c r="L666" s="690"/>
      <c r="M666" s="690"/>
      <c r="N666" s="690"/>
      <c r="O666" s="690"/>
      <c r="P666" s="690"/>
      <c r="Q666" s="690"/>
      <c r="R666" s="690"/>
      <c r="S666" s="690"/>
      <c r="T666" s="690"/>
      <c r="U666" s="690"/>
      <c r="V666" s="690"/>
      <c r="W666" s="690"/>
      <c r="X666" s="690"/>
      <c r="Y666" s="690"/>
      <c r="Z666" s="690"/>
      <c r="AA666" s="690"/>
      <c r="AB666" s="690"/>
      <c r="AC666" s="690"/>
      <c r="AD666" s="690"/>
      <c r="AE666" s="690"/>
    </row>
    <row r="667" spans="1:31" ht="15.75" customHeight="1">
      <c r="A667" s="690"/>
      <c r="B667" s="690"/>
      <c r="C667" s="690"/>
      <c r="D667" s="690"/>
      <c r="E667" s="690"/>
      <c r="F667" s="690"/>
      <c r="G667" s="690"/>
      <c r="H667" s="690"/>
      <c r="I667" s="690"/>
      <c r="J667" s="690"/>
      <c r="K667" s="690"/>
      <c r="L667" s="690"/>
      <c r="M667" s="690"/>
      <c r="N667" s="690"/>
      <c r="O667" s="690"/>
      <c r="P667" s="690"/>
      <c r="Q667" s="690"/>
      <c r="R667" s="690"/>
      <c r="S667" s="690"/>
      <c r="T667" s="690"/>
      <c r="U667" s="690"/>
      <c r="V667" s="690"/>
      <c r="W667" s="690"/>
      <c r="X667" s="690"/>
      <c r="Y667" s="690"/>
      <c r="Z667" s="690"/>
      <c r="AA667" s="690"/>
      <c r="AB667" s="690"/>
      <c r="AC667" s="690"/>
      <c r="AD667" s="690"/>
      <c r="AE667" s="690"/>
    </row>
    <row r="668" spans="1:31" ht="15.75" customHeight="1">
      <c r="A668" s="690"/>
      <c r="B668" s="690"/>
      <c r="C668" s="690"/>
      <c r="D668" s="690"/>
      <c r="E668" s="690"/>
      <c r="F668" s="690"/>
      <c r="G668" s="690"/>
      <c r="H668" s="690"/>
      <c r="I668" s="690"/>
      <c r="J668" s="690"/>
      <c r="K668" s="690"/>
      <c r="L668" s="690"/>
      <c r="M668" s="690"/>
      <c r="N668" s="690"/>
      <c r="O668" s="690"/>
      <c r="P668" s="690"/>
      <c r="Q668" s="690"/>
      <c r="R668" s="690"/>
      <c r="S668" s="690"/>
      <c r="T668" s="690"/>
      <c r="U668" s="690"/>
      <c r="V668" s="690"/>
      <c r="W668" s="690"/>
      <c r="X668" s="690"/>
      <c r="Y668" s="690"/>
      <c r="Z668" s="690"/>
      <c r="AA668" s="690"/>
      <c r="AB668" s="690"/>
      <c r="AC668" s="690"/>
      <c r="AD668" s="690"/>
      <c r="AE668" s="690"/>
    </row>
    <row r="669" spans="1:31" ht="15.75" customHeight="1">
      <c r="A669" s="690"/>
      <c r="B669" s="690"/>
      <c r="C669" s="690"/>
      <c r="D669" s="690"/>
      <c r="E669" s="690"/>
      <c r="F669" s="690"/>
      <c r="G669" s="690"/>
      <c r="H669" s="690"/>
      <c r="I669" s="690"/>
      <c r="J669" s="690"/>
      <c r="K669" s="690"/>
      <c r="L669" s="690"/>
      <c r="M669" s="690"/>
      <c r="N669" s="690"/>
      <c r="O669" s="690"/>
      <c r="P669" s="690"/>
      <c r="Q669" s="690"/>
      <c r="R669" s="690"/>
      <c r="S669" s="690"/>
      <c r="T669" s="690"/>
      <c r="U669" s="690"/>
      <c r="V669" s="690"/>
      <c r="W669" s="690"/>
      <c r="X669" s="690"/>
      <c r="Y669" s="690"/>
      <c r="Z669" s="690"/>
      <c r="AA669" s="690"/>
      <c r="AB669" s="690"/>
      <c r="AC669" s="690"/>
      <c r="AD669" s="690"/>
      <c r="AE669" s="690"/>
    </row>
    <row r="670" spans="1:31" ht="15.75" customHeight="1">
      <c r="A670" s="690"/>
      <c r="B670" s="690"/>
      <c r="C670" s="690"/>
      <c r="D670" s="690"/>
      <c r="E670" s="690"/>
      <c r="F670" s="690"/>
      <c r="G670" s="690"/>
      <c r="H670" s="690"/>
      <c r="I670" s="690"/>
      <c r="J670" s="690"/>
      <c r="K670" s="690"/>
      <c r="L670" s="690"/>
      <c r="M670" s="690"/>
      <c r="N670" s="690"/>
      <c r="O670" s="690"/>
      <c r="P670" s="690"/>
      <c r="Q670" s="690"/>
      <c r="R670" s="690"/>
      <c r="S670" s="690"/>
      <c r="T670" s="690"/>
      <c r="U670" s="690"/>
      <c r="V670" s="690"/>
      <c r="W670" s="690"/>
      <c r="X670" s="690"/>
      <c r="Y670" s="690"/>
      <c r="Z670" s="690"/>
      <c r="AA670" s="690"/>
      <c r="AB670" s="690"/>
      <c r="AC670" s="690"/>
      <c r="AD670" s="690"/>
      <c r="AE670" s="690"/>
    </row>
    <row r="671" spans="1:31" ht="15.75" customHeight="1">
      <c r="A671" s="690"/>
      <c r="B671" s="690"/>
      <c r="C671" s="690"/>
      <c r="D671" s="690"/>
      <c r="E671" s="690"/>
      <c r="F671" s="690"/>
      <c r="G671" s="690"/>
      <c r="H671" s="690"/>
      <c r="I671" s="690"/>
      <c r="J671" s="690"/>
      <c r="K671" s="690"/>
      <c r="L671" s="690"/>
      <c r="M671" s="690"/>
      <c r="N671" s="690"/>
      <c r="O671" s="690"/>
      <c r="P671" s="690"/>
      <c r="Q671" s="690"/>
      <c r="R671" s="690"/>
      <c r="S671" s="690"/>
      <c r="T671" s="690"/>
      <c r="U671" s="690"/>
      <c r="V671" s="690"/>
      <c r="W671" s="690"/>
      <c r="X671" s="690"/>
      <c r="Y671" s="690"/>
      <c r="Z671" s="690"/>
      <c r="AA671" s="690"/>
      <c r="AB671" s="690"/>
      <c r="AC671" s="690"/>
      <c r="AD671" s="690"/>
      <c r="AE671" s="690"/>
    </row>
    <row r="672" spans="1:31" ht="15.75" customHeight="1">
      <c r="A672" s="690"/>
      <c r="B672" s="690"/>
      <c r="C672" s="690"/>
      <c r="D672" s="690"/>
      <c r="E672" s="690"/>
      <c r="F672" s="690"/>
      <c r="G672" s="690"/>
      <c r="H672" s="690"/>
      <c r="I672" s="690"/>
      <c r="J672" s="690"/>
      <c r="K672" s="690"/>
      <c r="L672" s="690"/>
      <c r="M672" s="690"/>
      <c r="N672" s="690"/>
      <c r="O672" s="690"/>
      <c r="P672" s="690"/>
      <c r="Q672" s="690"/>
      <c r="R672" s="690"/>
      <c r="S672" s="690"/>
      <c r="T672" s="690"/>
      <c r="U672" s="690"/>
      <c r="V672" s="690"/>
      <c r="W672" s="690"/>
      <c r="X672" s="690"/>
      <c r="Y672" s="690"/>
      <c r="Z672" s="690"/>
      <c r="AA672" s="690"/>
      <c r="AB672" s="690"/>
      <c r="AC672" s="690"/>
      <c r="AD672" s="690"/>
      <c r="AE672" s="690"/>
    </row>
    <row r="673" spans="1:31" ht="15.75" customHeight="1">
      <c r="A673" s="690"/>
      <c r="B673" s="690"/>
      <c r="C673" s="690"/>
      <c r="D673" s="690"/>
      <c r="E673" s="690"/>
      <c r="F673" s="690"/>
      <c r="G673" s="690"/>
      <c r="H673" s="690"/>
      <c r="I673" s="690"/>
      <c r="J673" s="690"/>
      <c r="K673" s="690"/>
      <c r="L673" s="690"/>
      <c r="M673" s="690"/>
      <c r="N673" s="690"/>
      <c r="O673" s="690"/>
      <c r="P673" s="690"/>
      <c r="Q673" s="690"/>
      <c r="R673" s="690"/>
      <c r="S673" s="690"/>
      <c r="T673" s="690"/>
      <c r="U673" s="690"/>
      <c r="V673" s="690"/>
      <c r="W673" s="690"/>
      <c r="X673" s="690"/>
      <c r="Y673" s="690"/>
      <c r="Z673" s="690"/>
      <c r="AA673" s="690"/>
      <c r="AB673" s="690"/>
      <c r="AC673" s="690"/>
      <c r="AD673" s="690"/>
      <c r="AE673" s="690"/>
    </row>
    <row r="674" spans="1:31" ht="15.75" customHeight="1">
      <c r="A674" s="690"/>
      <c r="B674" s="690"/>
      <c r="C674" s="690"/>
      <c r="D674" s="690"/>
      <c r="E674" s="690"/>
      <c r="F674" s="690"/>
      <c r="G674" s="690"/>
      <c r="H674" s="690"/>
      <c r="I674" s="690"/>
      <c r="J674" s="690"/>
      <c r="K674" s="690"/>
      <c r="L674" s="690"/>
      <c r="M674" s="690"/>
      <c r="N674" s="690"/>
      <c r="O674" s="690"/>
      <c r="P674" s="690"/>
      <c r="Q674" s="690"/>
      <c r="R674" s="690"/>
      <c r="S674" s="690"/>
      <c r="T674" s="690"/>
      <c r="U674" s="690"/>
      <c r="V674" s="690"/>
      <c r="W674" s="690"/>
      <c r="X674" s="690"/>
      <c r="Y674" s="690"/>
      <c r="Z674" s="690"/>
      <c r="AA674" s="690"/>
      <c r="AB674" s="690"/>
      <c r="AC674" s="690"/>
      <c r="AD674" s="690"/>
      <c r="AE674" s="690"/>
    </row>
    <row r="675" spans="1:31" ht="15.75" customHeight="1">
      <c r="A675" s="690"/>
      <c r="B675" s="690"/>
      <c r="C675" s="690"/>
      <c r="D675" s="690"/>
      <c r="E675" s="690"/>
      <c r="F675" s="690"/>
      <c r="G675" s="690"/>
      <c r="H675" s="690"/>
      <c r="I675" s="690"/>
      <c r="J675" s="690"/>
      <c r="K675" s="690"/>
      <c r="L675" s="690"/>
      <c r="M675" s="690"/>
      <c r="N675" s="690"/>
      <c r="O675" s="690"/>
      <c r="P675" s="690"/>
      <c r="Q675" s="690"/>
      <c r="R675" s="690"/>
      <c r="S675" s="690"/>
      <c r="T675" s="690"/>
      <c r="U675" s="690"/>
      <c r="V675" s="690"/>
      <c r="W675" s="690"/>
      <c r="X675" s="690"/>
      <c r="Y675" s="690"/>
      <c r="Z675" s="690"/>
      <c r="AA675" s="690"/>
      <c r="AB675" s="690"/>
      <c r="AC675" s="690"/>
      <c r="AD675" s="690"/>
      <c r="AE675" s="690"/>
    </row>
    <row r="676" spans="1:31" ht="15.75" customHeight="1">
      <c r="A676" s="690"/>
      <c r="B676" s="690"/>
      <c r="C676" s="690"/>
      <c r="D676" s="690"/>
      <c r="E676" s="690"/>
      <c r="F676" s="690"/>
      <c r="G676" s="690"/>
      <c r="H676" s="690"/>
      <c r="I676" s="690"/>
      <c r="J676" s="690"/>
      <c r="K676" s="690"/>
      <c r="L676" s="690"/>
      <c r="M676" s="690"/>
      <c r="N676" s="690"/>
      <c r="O676" s="690"/>
      <c r="P676" s="690"/>
      <c r="Q676" s="690"/>
      <c r="R676" s="690"/>
      <c r="S676" s="690"/>
      <c r="T676" s="690"/>
      <c r="U676" s="690"/>
      <c r="V676" s="690"/>
      <c r="W676" s="690"/>
      <c r="X676" s="690"/>
      <c r="Y676" s="690"/>
      <c r="Z676" s="690"/>
      <c r="AA676" s="690"/>
      <c r="AB676" s="690"/>
      <c r="AC676" s="690"/>
      <c r="AD676" s="690"/>
      <c r="AE676" s="690"/>
    </row>
    <row r="677" spans="1:31" ht="15.75" customHeight="1">
      <c r="A677" s="690"/>
      <c r="B677" s="690"/>
      <c r="C677" s="690"/>
      <c r="D677" s="690"/>
      <c r="E677" s="690"/>
      <c r="F677" s="690"/>
      <c r="G677" s="690"/>
      <c r="H677" s="690"/>
      <c r="I677" s="690"/>
      <c r="J677" s="690"/>
      <c r="K677" s="690"/>
      <c r="L677" s="690"/>
      <c r="M677" s="690"/>
      <c r="N677" s="690"/>
      <c r="O677" s="690"/>
      <c r="P677" s="690"/>
      <c r="Q677" s="690"/>
      <c r="R677" s="690"/>
      <c r="S677" s="690"/>
      <c r="T677" s="690"/>
      <c r="U677" s="690"/>
      <c r="V677" s="690"/>
      <c r="W677" s="690"/>
      <c r="X677" s="690"/>
      <c r="Y677" s="690"/>
      <c r="Z677" s="690"/>
      <c r="AA677" s="690"/>
      <c r="AB677" s="690"/>
      <c r="AC677" s="690"/>
      <c r="AD677" s="690"/>
      <c r="AE677" s="690"/>
    </row>
    <row r="678" spans="1:31" ht="15.75" customHeight="1">
      <c r="A678" s="690"/>
      <c r="B678" s="690"/>
      <c r="C678" s="690"/>
      <c r="D678" s="690"/>
      <c r="E678" s="690"/>
      <c r="F678" s="690"/>
      <c r="G678" s="690"/>
      <c r="H678" s="690"/>
      <c r="I678" s="690"/>
      <c r="J678" s="690"/>
      <c r="K678" s="690"/>
      <c r="L678" s="690"/>
      <c r="M678" s="690"/>
      <c r="N678" s="690"/>
      <c r="O678" s="690"/>
      <c r="P678" s="690"/>
      <c r="Q678" s="690"/>
      <c r="R678" s="690"/>
      <c r="S678" s="690"/>
      <c r="T678" s="690"/>
      <c r="U678" s="690"/>
      <c r="V678" s="690"/>
      <c r="W678" s="690"/>
      <c r="X678" s="690"/>
      <c r="Y678" s="690"/>
      <c r="Z678" s="690"/>
      <c r="AA678" s="690"/>
      <c r="AB678" s="690"/>
      <c r="AC678" s="690"/>
      <c r="AD678" s="690"/>
      <c r="AE678" s="690"/>
    </row>
    <row r="679" spans="1:31" ht="15.75" customHeight="1">
      <c r="A679" s="690"/>
      <c r="B679" s="690"/>
      <c r="C679" s="690"/>
      <c r="D679" s="690"/>
      <c r="E679" s="690"/>
      <c r="F679" s="690"/>
      <c r="G679" s="690"/>
      <c r="H679" s="690"/>
      <c r="I679" s="690"/>
      <c r="J679" s="690"/>
      <c r="K679" s="690"/>
      <c r="L679" s="690"/>
      <c r="M679" s="690"/>
      <c r="N679" s="690"/>
      <c r="O679" s="690"/>
      <c r="P679" s="690"/>
      <c r="Q679" s="690"/>
      <c r="R679" s="690"/>
      <c r="S679" s="690"/>
      <c r="T679" s="690"/>
      <c r="U679" s="690"/>
      <c r="V679" s="690"/>
      <c r="W679" s="690"/>
      <c r="X679" s="690"/>
      <c r="Y679" s="690"/>
      <c r="Z679" s="690"/>
      <c r="AA679" s="690"/>
      <c r="AB679" s="690"/>
      <c r="AC679" s="690"/>
      <c r="AD679" s="690"/>
      <c r="AE679" s="690"/>
    </row>
    <row r="680" spans="1:31" ht="15.75" customHeight="1">
      <c r="A680" s="690"/>
      <c r="B680" s="690"/>
      <c r="C680" s="690"/>
      <c r="D680" s="690"/>
      <c r="E680" s="690"/>
      <c r="F680" s="690"/>
      <c r="G680" s="690"/>
      <c r="H680" s="690"/>
      <c r="I680" s="690"/>
      <c r="J680" s="690"/>
      <c r="K680" s="690"/>
      <c r="L680" s="690"/>
      <c r="M680" s="690"/>
      <c r="N680" s="690"/>
      <c r="O680" s="690"/>
      <c r="P680" s="690"/>
      <c r="Q680" s="690"/>
      <c r="R680" s="690"/>
      <c r="S680" s="690"/>
      <c r="T680" s="690"/>
      <c r="U680" s="690"/>
      <c r="V680" s="690"/>
      <c r="W680" s="690"/>
      <c r="X680" s="690"/>
      <c r="Y680" s="690"/>
      <c r="Z680" s="690"/>
      <c r="AA680" s="690"/>
      <c r="AB680" s="690"/>
      <c r="AC680" s="690"/>
      <c r="AD680" s="690"/>
      <c r="AE680" s="690"/>
    </row>
    <row r="681" spans="1:31" ht="15.75" customHeight="1">
      <c r="A681" s="690"/>
      <c r="B681" s="690"/>
      <c r="C681" s="690"/>
      <c r="D681" s="690"/>
      <c r="E681" s="690"/>
      <c r="F681" s="690"/>
      <c r="G681" s="690"/>
      <c r="H681" s="690"/>
      <c r="I681" s="690"/>
      <c r="J681" s="690"/>
      <c r="K681" s="690"/>
      <c r="L681" s="690"/>
      <c r="M681" s="690"/>
      <c r="N681" s="690"/>
      <c r="O681" s="690"/>
      <c r="P681" s="690"/>
      <c r="Q681" s="690"/>
      <c r="R681" s="690"/>
      <c r="S681" s="690"/>
      <c r="T681" s="690"/>
      <c r="U681" s="690"/>
      <c r="V681" s="690"/>
      <c r="W681" s="690"/>
      <c r="X681" s="690"/>
      <c r="Y681" s="690"/>
      <c r="Z681" s="690"/>
      <c r="AA681" s="690"/>
      <c r="AB681" s="690"/>
      <c r="AC681" s="690"/>
      <c r="AD681" s="690"/>
      <c r="AE681" s="690"/>
    </row>
    <row r="682" spans="1:31" ht="15.75" customHeight="1">
      <c r="A682" s="690"/>
      <c r="B682" s="690"/>
      <c r="C682" s="690"/>
      <c r="D682" s="690"/>
      <c r="E682" s="690"/>
      <c r="F682" s="690"/>
      <c r="G682" s="690"/>
      <c r="H682" s="690"/>
      <c r="I682" s="690"/>
      <c r="J682" s="690"/>
      <c r="K682" s="690"/>
      <c r="L682" s="690"/>
      <c r="M682" s="690"/>
      <c r="N682" s="690"/>
      <c r="O682" s="690"/>
      <c r="P682" s="690"/>
      <c r="Q682" s="690"/>
      <c r="R682" s="690"/>
      <c r="S682" s="690"/>
      <c r="T682" s="690"/>
      <c r="U682" s="690"/>
      <c r="V682" s="690"/>
      <c r="W682" s="690"/>
      <c r="X682" s="690"/>
      <c r="Y682" s="690"/>
      <c r="Z682" s="690"/>
      <c r="AA682" s="690"/>
      <c r="AB682" s="690"/>
      <c r="AC682" s="690"/>
      <c r="AD682" s="690"/>
      <c r="AE682" s="690"/>
    </row>
    <row r="683" spans="1:31" ht="15.75" customHeight="1">
      <c r="A683" s="690"/>
      <c r="B683" s="690"/>
      <c r="C683" s="690"/>
      <c r="D683" s="690"/>
      <c r="E683" s="690"/>
      <c r="F683" s="690"/>
      <c r="G683" s="690"/>
      <c r="H683" s="690"/>
      <c r="I683" s="690"/>
      <c r="J683" s="690"/>
      <c r="K683" s="690"/>
      <c r="L683" s="690"/>
      <c r="M683" s="690"/>
      <c r="N683" s="690"/>
      <c r="O683" s="690"/>
      <c r="P683" s="690"/>
      <c r="Q683" s="690"/>
      <c r="R683" s="690"/>
      <c r="S683" s="690"/>
      <c r="T683" s="690"/>
      <c r="U683" s="690"/>
      <c r="V683" s="690"/>
      <c r="W683" s="690"/>
      <c r="X683" s="690"/>
      <c r="Y683" s="690"/>
      <c r="Z683" s="690"/>
      <c r="AA683" s="690"/>
      <c r="AB683" s="690"/>
      <c r="AC683" s="690"/>
      <c r="AD683" s="690"/>
      <c r="AE683" s="690"/>
    </row>
    <row r="684" spans="1:31" ht="15.75" customHeight="1">
      <c r="A684" s="690"/>
      <c r="B684" s="690"/>
      <c r="C684" s="690"/>
      <c r="D684" s="690"/>
      <c r="E684" s="690"/>
      <c r="F684" s="690"/>
      <c r="G684" s="690"/>
      <c r="H684" s="690"/>
      <c r="I684" s="690"/>
      <c r="J684" s="690"/>
      <c r="K684" s="690"/>
      <c r="L684" s="690"/>
      <c r="M684" s="690"/>
      <c r="N684" s="690"/>
      <c r="O684" s="690"/>
      <c r="P684" s="690"/>
      <c r="Q684" s="690"/>
      <c r="R684" s="690"/>
      <c r="S684" s="690"/>
      <c r="T684" s="690"/>
      <c r="U684" s="690"/>
      <c r="V684" s="690"/>
      <c r="W684" s="690"/>
      <c r="X684" s="690"/>
      <c r="Y684" s="690"/>
      <c r="Z684" s="690"/>
      <c r="AA684" s="690"/>
      <c r="AB684" s="690"/>
      <c r="AC684" s="690"/>
      <c r="AD684" s="690"/>
      <c r="AE684" s="690"/>
    </row>
    <row r="685" spans="1:31" ht="15.75" customHeight="1">
      <c r="A685" s="690"/>
      <c r="B685" s="690"/>
      <c r="C685" s="690"/>
      <c r="D685" s="690"/>
      <c r="E685" s="690"/>
      <c r="F685" s="690"/>
      <c r="G685" s="690"/>
      <c r="H685" s="690"/>
      <c r="I685" s="690"/>
      <c r="J685" s="690"/>
      <c r="K685" s="690"/>
      <c r="L685" s="690"/>
      <c r="M685" s="690"/>
      <c r="N685" s="690"/>
      <c r="O685" s="690"/>
      <c r="P685" s="690"/>
      <c r="Q685" s="690"/>
      <c r="R685" s="690"/>
      <c r="S685" s="690"/>
      <c r="T685" s="690"/>
      <c r="U685" s="690"/>
      <c r="V685" s="690"/>
      <c r="W685" s="690"/>
      <c r="X685" s="690"/>
      <c r="Y685" s="690"/>
      <c r="Z685" s="690"/>
      <c r="AA685" s="690"/>
      <c r="AB685" s="690"/>
      <c r="AC685" s="690"/>
      <c r="AD685" s="690"/>
      <c r="AE685" s="690"/>
    </row>
    <row r="686" spans="1:31" ht="15.75" customHeight="1">
      <c r="A686" s="690"/>
      <c r="B686" s="690"/>
      <c r="C686" s="690"/>
      <c r="D686" s="690"/>
      <c r="E686" s="690"/>
      <c r="F686" s="690"/>
      <c r="G686" s="690"/>
      <c r="H686" s="690"/>
      <c r="I686" s="690"/>
      <c r="J686" s="690"/>
      <c r="K686" s="690"/>
      <c r="L686" s="690"/>
      <c r="M686" s="690"/>
      <c r="N686" s="690"/>
      <c r="O686" s="690"/>
      <c r="P686" s="690"/>
      <c r="Q686" s="690"/>
      <c r="R686" s="690"/>
      <c r="S686" s="690"/>
      <c r="T686" s="690"/>
      <c r="U686" s="690"/>
      <c r="V686" s="690"/>
      <c r="W686" s="690"/>
      <c r="X686" s="690"/>
      <c r="Y686" s="690"/>
      <c r="Z686" s="690"/>
      <c r="AA686" s="690"/>
      <c r="AB686" s="690"/>
      <c r="AC686" s="690"/>
      <c r="AD686" s="690"/>
      <c r="AE686" s="690"/>
    </row>
    <row r="687" spans="1:31" ht="15.75" customHeight="1">
      <c r="A687" s="690"/>
      <c r="B687" s="690"/>
      <c r="C687" s="690"/>
      <c r="D687" s="690"/>
      <c r="E687" s="690"/>
      <c r="F687" s="690"/>
      <c r="G687" s="690"/>
      <c r="H687" s="690"/>
      <c r="I687" s="690"/>
      <c r="J687" s="690"/>
      <c r="K687" s="690"/>
      <c r="L687" s="690"/>
      <c r="M687" s="690"/>
      <c r="N687" s="690"/>
      <c r="O687" s="690"/>
      <c r="P687" s="690"/>
      <c r="Q687" s="690"/>
      <c r="R687" s="690"/>
      <c r="S687" s="690"/>
      <c r="T687" s="690"/>
      <c r="U687" s="690"/>
      <c r="V687" s="690"/>
      <c r="W687" s="690"/>
      <c r="X687" s="690"/>
      <c r="Y687" s="690"/>
      <c r="Z687" s="690"/>
      <c r="AA687" s="690"/>
      <c r="AB687" s="690"/>
      <c r="AC687" s="690"/>
      <c r="AD687" s="690"/>
      <c r="AE687" s="690"/>
    </row>
    <row r="688" spans="1:31" ht="15.75" customHeight="1">
      <c r="A688" s="690"/>
      <c r="B688" s="690"/>
      <c r="C688" s="690"/>
      <c r="D688" s="690"/>
      <c r="E688" s="690"/>
      <c r="F688" s="690"/>
      <c r="G688" s="690"/>
      <c r="H688" s="690"/>
      <c r="I688" s="690"/>
      <c r="J688" s="690"/>
      <c r="K688" s="690"/>
      <c r="L688" s="690"/>
      <c r="M688" s="690"/>
      <c r="N688" s="690"/>
      <c r="O688" s="690"/>
      <c r="P688" s="690"/>
      <c r="Q688" s="690"/>
      <c r="R688" s="690"/>
      <c r="S688" s="690"/>
      <c r="T688" s="690"/>
      <c r="U688" s="690"/>
      <c r="V688" s="690"/>
      <c r="W688" s="690"/>
      <c r="X688" s="690"/>
      <c r="Y688" s="690"/>
      <c r="Z688" s="690"/>
      <c r="AA688" s="690"/>
      <c r="AB688" s="690"/>
      <c r="AC688" s="690"/>
      <c r="AD688" s="690"/>
      <c r="AE688" s="690"/>
    </row>
    <row r="689" spans="1:31" ht="15.75" customHeight="1">
      <c r="A689" s="690"/>
      <c r="B689" s="690"/>
      <c r="C689" s="690"/>
      <c r="D689" s="690"/>
      <c r="E689" s="690"/>
      <c r="F689" s="690"/>
      <c r="G689" s="690"/>
      <c r="H689" s="690"/>
      <c r="I689" s="690"/>
      <c r="J689" s="690"/>
      <c r="K689" s="690"/>
      <c r="L689" s="690"/>
      <c r="M689" s="690"/>
      <c r="N689" s="690"/>
      <c r="O689" s="690"/>
      <c r="P689" s="690"/>
      <c r="Q689" s="690"/>
      <c r="R689" s="690"/>
      <c r="S689" s="690"/>
      <c r="T689" s="690"/>
      <c r="U689" s="690"/>
      <c r="V689" s="690"/>
      <c r="W689" s="690"/>
      <c r="X689" s="690"/>
      <c r="Y689" s="690"/>
      <c r="Z689" s="690"/>
      <c r="AA689" s="690"/>
      <c r="AB689" s="690"/>
      <c r="AC689" s="690"/>
      <c r="AD689" s="690"/>
      <c r="AE689" s="690"/>
    </row>
    <row r="690" spans="1:31" ht="15.75" customHeight="1">
      <c r="A690" s="690"/>
      <c r="B690" s="690"/>
      <c r="C690" s="690"/>
      <c r="D690" s="690"/>
      <c r="E690" s="690"/>
      <c r="F690" s="690"/>
      <c r="G690" s="690"/>
      <c r="H690" s="690"/>
      <c r="I690" s="690"/>
      <c r="J690" s="690"/>
      <c r="K690" s="690"/>
      <c r="L690" s="690"/>
      <c r="M690" s="690"/>
      <c r="N690" s="690"/>
      <c r="O690" s="690"/>
      <c r="P690" s="690"/>
      <c r="Q690" s="690"/>
      <c r="R690" s="690"/>
      <c r="S690" s="690"/>
      <c r="T690" s="690"/>
      <c r="U690" s="690"/>
      <c r="V690" s="690"/>
      <c r="W690" s="690"/>
      <c r="X690" s="690"/>
      <c r="Y690" s="690"/>
      <c r="Z690" s="690"/>
      <c r="AA690" s="690"/>
      <c r="AB690" s="690"/>
      <c r="AC690" s="690"/>
      <c r="AD690" s="690"/>
      <c r="AE690" s="690"/>
    </row>
    <row r="691" spans="1:31" ht="15.75" customHeight="1">
      <c r="A691" s="690"/>
      <c r="B691" s="690"/>
      <c r="C691" s="690"/>
      <c r="D691" s="690"/>
      <c r="E691" s="690"/>
      <c r="F691" s="690"/>
      <c r="G691" s="690"/>
      <c r="H691" s="690"/>
      <c r="I691" s="690"/>
      <c r="J691" s="690"/>
      <c r="K691" s="690"/>
      <c r="L691" s="690"/>
      <c r="M691" s="690"/>
      <c r="N691" s="690"/>
      <c r="O691" s="690"/>
      <c r="P691" s="690"/>
      <c r="Q691" s="690"/>
      <c r="R691" s="690"/>
      <c r="S691" s="690"/>
      <c r="T691" s="690"/>
      <c r="U691" s="690"/>
      <c r="V691" s="690"/>
      <c r="W691" s="690"/>
      <c r="X691" s="690"/>
      <c r="Y691" s="690"/>
      <c r="Z691" s="690"/>
      <c r="AA691" s="690"/>
      <c r="AB691" s="690"/>
      <c r="AC691" s="690"/>
      <c r="AD691" s="690"/>
      <c r="AE691" s="690"/>
    </row>
    <row r="692" spans="1:31" ht="15.75" customHeight="1">
      <c r="A692" s="690"/>
      <c r="B692" s="690"/>
      <c r="C692" s="690"/>
      <c r="D692" s="690"/>
      <c r="E692" s="690"/>
      <c r="F692" s="690"/>
      <c r="G692" s="690"/>
      <c r="H692" s="690"/>
      <c r="I692" s="690"/>
      <c r="J692" s="690"/>
      <c r="K692" s="690"/>
      <c r="L692" s="690"/>
      <c r="M692" s="690"/>
      <c r="N692" s="690"/>
      <c r="O692" s="690"/>
      <c r="P692" s="690"/>
      <c r="Q692" s="690"/>
      <c r="R692" s="690"/>
      <c r="S692" s="690"/>
      <c r="T692" s="690"/>
      <c r="U692" s="690"/>
      <c r="V692" s="690"/>
      <c r="W692" s="690"/>
      <c r="X692" s="690"/>
      <c r="Y692" s="690"/>
      <c r="Z692" s="690"/>
      <c r="AA692" s="690"/>
      <c r="AB692" s="690"/>
      <c r="AC692" s="690"/>
      <c r="AD692" s="690"/>
      <c r="AE692" s="690"/>
    </row>
    <row r="693" spans="1:31" ht="15.75" customHeight="1">
      <c r="A693" s="690"/>
      <c r="B693" s="690"/>
      <c r="C693" s="690"/>
      <c r="D693" s="690"/>
      <c r="E693" s="690"/>
      <c r="F693" s="690"/>
      <c r="G693" s="690"/>
      <c r="H693" s="690"/>
      <c r="I693" s="690"/>
      <c r="J693" s="690"/>
      <c r="K693" s="690"/>
      <c r="L693" s="690"/>
      <c r="M693" s="690"/>
      <c r="N693" s="690"/>
      <c r="O693" s="690"/>
      <c r="P693" s="690"/>
      <c r="Q693" s="690"/>
      <c r="R693" s="690"/>
      <c r="S693" s="690"/>
      <c r="T693" s="690"/>
      <c r="U693" s="690"/>
      <c r="V693" s="690"/>
      <c r="W693" s="690"/>
      <c r="X693" s="690"/>
      <c r="Y693" s="690"/>
      <c r="Z693" s="690"/>
      <c r="AA693" s="690"/>
      <c r="AB693" s="690"/>
      <c r="AC693" s="690"/>
      <c r="AD693" s="690"/>
      <c r="AE693" s="690"/>
    </row>
    <row r="694" spans="1:31" ht="15.75" customHeight="1">
      <c r="A694" s="690"/>
      <c r="B694" s="690"/>
      <c r="C694" s="690"/>
      <c r="D694" s="690"/>
      <c r="E694" s="690"/>
      <c r="F694" s="690"/>
      <c r="G694" s="690"/>
      <c r="H694" s="690"/>
      <c r="I694" s="690"/>
      <c r="J694" s="690"/>
      <c r="K694" s="690"/>
      <c r="L694" s="690"/>
      <c r="M694" s="690"/>
      <c r="N694" s="690"/>
      <c r="O694" s="690"/>
      <c r="P694" s="690"/>
      <c r="Q694" s="690"/>
      <c r="R694" s="690"/>
      <c r="S694" s="690"/>
      <c r="T694" s="690"/>
      <c r="U694" s="690"/>
      <c r="V694" s="690"/>
      <c r="W694" s="690"/>
      <c r="X694" s="690"/>
      <c r="Y694" s="690"/>
      <c r="Z694" s="690"/>
      <c r="AA694" s="690"/>
      <c r="AB694" s="690"/>
      <c r="AC694" s="690"/>
      <c r="AD694" s="690"/>
      <c r="AE694" s="690"/>
    </row>
    <row r="695" spans="1:31" ht="15.75" customHeight="1">
      <c r="A695" s="690"/>
      <c r="B695" s="690"/>
      <c r="C695" s="690"/>
      <c r="D695" s="690"/>
      <c r="E695" s="690"/>
      <c r="F695" s="690"/>
      <c r="G695" s="690"/>
      <c r="H695" s="690"/>
      <c r="I695" s="690"/>
      <c r="J695" s="690"/>
      <c r="K695" s="690"/>
      <c r="L695" s="690"/>
      <c r="M695" s="690"/>
      <c r="N695" s="690"/>
      <c r="O695" s="690"/>
      <c r="P695" s="690"/>
      <c r="Q695" s="690"/>
      <c r="R695" s="690"/>
      <c r="S695" s="690"/>
      <c r="T695" s="690"/>
      <c r="U695" s="690"/>
      <c r="V695" s="690"/>
      <c r="W695" s="690"/>
      <c r="X695" s="690"/>
      <c r="Y695" s="690"/>
      <c r="Z695" s="690"/>
      <c r="AA695" s="690"/>
      <c r="AB695" s="690"/>
      <c r="AC695" s="690"/>
      <c r="AD695" s="690"/>
      <c r="AE695" s="690"/>
    </row>
    <row r="696" spans="1:31" ht="15.75" customHeight="1">
      <c r="A696" s="690"/>
      <c r="B696" s="690"/>
      <c r="C696" s="690"/>
      <c r="D696" s="690"/>
      <c r="E696" s="690"/>
      <c r="F696" s="690"/>
      <c r="G696" s="690"/>
      <c r="H696" s="690"/>
      <c r="I696" s="690"/>
      <c r="J696" s="690"/>
      <c r="K696" s="690"/>
      <c r="L696" s="690"/>
      <c r="M696" s="690"/>
      <c r="N696" s="690"/>
      <c r="O696" s="690"/>
      <c r="P696" s="690"/>
      <c r="Q696" s="690"/>
      <c r="R696" s="690"/>
      <c r="S696" s="690"/>
      <c r="T696" s="690"/>
      <c r="U696" s="690"/>
      <c r="V696" s="690"/>
      <c r="W696" s="690"/>
      <c r="X696" s="690"/>
      <c r="Y696" s="690"/>
      <c r="Z696" s="690"/>
      <c r="AA696" s="690"/>
      <c r="AB696" s="690"/>
      <c r="AC696" s="690"/>
      <c r="AD696" s="690"/>
      <c r="AE696" s="690"/>
    </row>
    <row r="697" spans="1:31" ht="15.75" customHeight="1">
      <c r="A697" s="690"/>
      <c r="B697" s="690"/>
      <c r="C697" s="690"/>
      <c r="D697" s="690"/>
      <c r="E697" s="690"/>
      <c r="F697" s="690"/>
      <c r="G697" s="690"/>
      <c r="H697" s="690"/>
      <c r="I697" s="690"/>
      <c r="J697" s="690"/>
      <c r="K697" s="690"/>
      <c r="L697" s="690"/>
      <c r="M697" s="690"/>
      <c r="N697" s="690"/>
      <c r="O697" s="690"/>
      <c r="P697" s="690"/>
      <c r="Q697" s="690"/>
      <c r="R697" s="690"/>
      <c r="S697" s="690"/>
      <c r="T697" s="690"/>
      <c r="U697" s="690"/>
      <c r="V697" s="690"/>
      <c r="W697" s="690"/>
      <c r="X697" s="690"/>
      <c r="Y697" s="690"/>
      <c r="Z697" s="690"/>
      <c r="AA697" s="690"/>
      <c r="AB697" s="690"/>
      <c r="AC697" s="690"/>
      <c r="AD697" s="690"/>
      <c r="AE697" s="690"/>
    </row>
    <row r="698" spans="1:31" ht="15.75" customHeight="1">
      <c r="A698" s="690"/>
      <c r="B698" s="690"/>
      <c r="C698" s="690"/>
      <c r="D698" s="690"/>
      <c r="E698" s="690"/>
      <c r="F698" s="690"/>
      <c r="G698" s="690"/>
      <c r="H698" s="690"/>
      <c r="I698" s="690"/>
      <c r="J698" s="690"/>
      <c r="K698" s="690"/>
      <c r="L698" s="690"/>
      <c r="M698" s="690"/>
      <c r="N698" s="690"/>
      <c r="O698" s="690"/>
      <c r="P698" s="690"/>
      <c r="Q698" s="690"/>
      <c r="R698" s="690"/>
      <c r="S698" s="690"/>
      <c r="T698" s="690"/>
      <c r="U698" s="690"/>
      <c r="V698" s="690"/>
      <c r="W698" s="690"/>
      <c r="X698" s="690"/>
      <c r="Y698" s="690"/>
      <c r="Z698" s="690"/>
      <c r="AA698" s="690"/>
      <c r="AB698" s="690"/>
      <c r="AC698" s="690"/>
      <c r="AD698" s="690"/>
      <c r="AE698" s="690"/>
    </row>
    <row r="699" spans="1:31" ht="15.75" customHeight="1">
      <c r="A699" s="690"/>
      <c r="B699" s="690"/>
      <c r="C699" s="690"/>
      <c r="D699" s="690"/>
      <c r="E699" s="690"/>
      <c r="F699" s="690"/>
      <c r="G699" s="690"/>
      <c r="H699" s="690"/>
      <c r="I699" s="690"/>
      <c r="J699" s="690"/>
      <c r="K699" s="690"/>
      <c r="L699" s="690"/>
      <c r="M699" s="690"/>
      <c r="N699" s="690"/>
      <c r="O699" s="690"/>
      <c r="P699" s="690"/>
      <c r="Q699" s="690"/>
      <c r="R699" s="690"/>
      <c r="S699" s="690"/>
      <c r="T699" s="690"/>
      <c r="U699" s="690"/>
      <c r="V699" s="690"/>
      <c r="W699" s="690"/>
      <c r="X699" s="690"/>
      <c r="Y699" s="690"/>
      <c r="Z699" s="690"/>
      <c r="AA699" s="690"/>
      <c r="AB699" s="690"/>
      <c r="AC699" s="690"/>
      <c r="AD699" s="690"/>
      <c r="AE699" s="690"/>
    </row>
    <row r="700" spans="1:31" ht="15.75" customHeight="1">
      <c r="A700" s="690"/>
      <c r="B700" s="690"/>
      <c r="C700" s="690"/>
      <c r="D700" s="690"/>
      <c r="E700" s="690"/>
      <c r="F700" s="690"/>
      <c r="G700" s="690"/>
      <c r="H700" s="690"/>
      <c r="I700" s="690"/>
      <c r="J700" s="690"/>
      <c r="K700" s="690"/>
      <c r="L700" s="690"/>
      <c r="M700" s="690"/>
      <c r="N700" s="690"/>
      <c r="O700" s="690"/>
      <c r="P700" s="690"/>
      <c r="Q700" s="690"/>
      <c r="R700" s="690"/>
      <c r="S700" s="690"/>
      <c r="T700" s="690"/>
      <c r="U700" s="690"/>
      <c r="V700" s="690"/>
      <c r="W700" s="690"/>
      <c r="X700" s="690"/>
      <c r="Y700" s="690"/>
      <c r="Z700" s="690"/>
      <c r="AA700" s="690"/>
      <c r="AB700" s="690"/>
      <c r="AC700" s="690"/>
      <c r="AD700" s="690"/>
      <c r="AE700" s="690"/>
    </row>
    <row r="701" spans="1:31" ht="15.75" customHeight="1">
      <c r="A701" s="690"/>
      <c r="B701" s="690"/>
      <c r="C701" s="690"/>
      <c r="D701" s="690"/>
      <c r="E701" s="690"/>
      <c r="F701" s="690"/>
      <c r="G701" s="690"/>
      <c r="H701" s="690"/>
      <c r="I701" s="690"/>
      <c r="J701" s="690"/>
      <c r="K701" s="690"/>
      <c r="L701" s="690"/>
      <c r="M701" s="690"/>
      <c r="N701" s="690"/>
      <c r="O701" s="690"/>
      <c r="P701" s="690"/>
      <c r="Q701" s="690"/>
      <c r="R701" s="690"/>
      <c r="S701" s="690"/>
      <c r="T701" s="690"/>
      <c r="U701" s="690"/>
      <c r="V701" s="690"/>
      <c r="W701" s="690"/>
      <c r="X701" s="690"/>
      <c r="Y701" s="690"/>
      <c r="Z701" s="690"/>
      <c r="AA701" s="690"/>
      <c r="AB701" s="690"/>
      <c r="AC701" s="690"/>
      <c r="AD701" s="690"/>
      <c r="AE701" s="690"/>
    </row>
    <row r="702" spans="1:31" ht="15.75" customHeight="1">
      <c r="A702" s="690"/>
      <c r="B702" s="690"/>
      <c r="C702" s="690"/>
      <c r="D702" s="690"/>
      <c r="E702" s="690"/>
      <c r="F702" s="690"/>
      <c r="G702" s="690"/>
      <c r="H702" s="690"/>
      <c r="I702" s="690"/>
      <c r="J702" s="690"/>
      <c r="K702" s="690"/>
      <c r="L702" s="690"/>
      <c r="M702" s="690"/>
      <c r="N702" s="690"/>
      <c r="O702" s="690"/>
      <c r="P702" s="690"/>
      <c r="Q702" s="690"/>
      <c r="R702" s="690"/>
      <c r="S702" s="690"/>
      <c r="T702" s="690"/>
      <c r="U702" s="690"/>
      <c r="V702" s="690"/>
      <c r="W702" s="690"/>
      <c r="X702" s="690"/>
      <c r="Y702" s="690"/>
      <c r="Z702" s="690"/>
      <c r="AA702" s="690"/>
      <c r="AB702" s="690"/>
      <c r="AC702" s="690"/>
      <c r="AD702" s="690"/>
      <c r="AE702" s="690"/>
    </row>
    <row r="703" spans="1:31" ht="15.75" customHeight="1">
      <c r="A703" s="690"/>
      <c r="B703" s="690"/>
      <c r="C703" s="690"/>
      <c r="D703" s="690"/>
      <c r="E703" s="690"/>
      <c r="F703" s="690"/>
      <c r="G703" s="690"/>
      <c r="H703" s="690"/>
      <c r="I703" s="690"/>
      <c r="J703" s="690"/>
      <c r="K703" s="690"/>
      <c r="L703" s="690"/>
      <c r="M703" s="690"/>
      <c r="N703" s="690"/>
      <c r="O703" s="690"/>
      <c r="P703" s="690"/>
      <c r="Q703" s="690"/>
      <c r="R703" s="690"/>
      <c r="S703" s="690"/>
      <c r="T703" s="690"/>
      <c r="U703" s="690"/>
      <c r="V703" s="690"/>
      <c r="W703" s="690"/>
      <c r="X703" s="690"/>
      <c r="Y703" s="690"/>
      <c r="Z703" s="690"/>
      <c r="AA703" s="690"/>
      <c r="AB703" s="690"/>
      <c r="AC703" s="690"/>
      <c r="AD703" s="690"/>
      <c r="AE703" s="690"/>
    </row>
    <row r="704" spans="1:31" ht="15.75" customHeight="1">
      <c r="A704" s="690"/>
      <c r="B704" s="690"/>
      <c r="C704" s="690"/>
      <c r="D704" s="690"/>
      <c r="E704" s="690"/>
      <c r="F704" s="690"/>
      <c r="G704" s="690"/>
      <c r="H704" s="690"/>
      <c r="I704" s="690"/>
      <c r="J704" s="690"/>
      <c r="K704" s="690"/>
      <c r="L704" s="690"/>
      <c r="M704" s="690"/>
      <c r="N704" s="690"/>
      <c r="O704" s="690"/>
      <c r="P704" s="690"/>
      <c r="Q704" s="690"/>
      <c r="R704" s="690"/>
      <c r="S704" s="690"/>
      <c r="T704" s="690"/>
      <c r="U704" s="690"/>
      <c r="V704" s="690"/>
      <c r="W704" s="690"/>
      <c r="X704" s="690"/>
      <c r="Y704" s="690"/>
      <c r="Z704" s="690"/>
      <c r="AA704" s="690"/>
      <c r="AB704" s="690"/>
      <c r="AC704" s="690"/>
      <c r="AD704" s="690"/>
      <c r="AE704" s="690"/>
    </row>
    <row r="705" spans="1:31" ht="15.75" customHeight="1">
      <c r="A705" s="690"/>
      <c r="B705" s="690"/>
      <c r="C705" s="690"/>
      <c r="D705" s="690"/>
      <c r="E705" s="690"/>
      <c r="F705" s="690"/>
      <c r="G705" s="690"/>
      <c r="H705" s="690"/>
      <c r="I705" s="690"/>
      <c r="J705" s="690"/>
      <c r="K705" s="690"/>
      <c r="L705" s="690"/>
      <c r="M705" s="690"/>
      <c r="N705" s="690"/>
      <c r="O705" s="690"/>
      <c r="P705" s="690"/>
      <c r="Q705" s="690"/>
      <c r="R705" s="690"/>
      <c r="S705" s="690"/>
      <c r="T705" s="690"/>
      <c r="U705" s="690"/>
      <c r="V705" s="690"/>
      <c r="W705" s="690"/>
      <c r="X705" s="690"/>
      <c r="Y705" s="690"/>
      <c r="Z705" s="690"/>
      <c r="AA705" s="690"/>
      <c r="AB705" s="690"/>
      <c r="AC705" s="690"/>
      <c r="AD705" s="690"/>
      <c r="AE705" s="690"/>
    </row>
    <row r="706" spans="1:31" ht="15.75" customHeight="1">
      <c r="A706" s="690"/>
      <c r="B706" s="690"/>
      <c r="C706" s="690"/>
      <c r="D706" s="690"/>
      <c r="E706" s="690"/>
      <c r="F706" s="690"/>
      <c r="G706" s="690"/>
      <c r="H706" s="690"/>
      <c r="I706" s="690"/>
      <c r="J706" s="690"/>
      <c r="K706" s="690"/>
      <c r="L706" s="690"/>
      <c r="M706" s="690"/>
      <c r="N706" s="690"/>
      <c r="O706" s="690"/>
      <c r="P706" s="690"/>
      <c r="Q706" s="690"/>
      <c r="R706" s="690"/>
      <c r="S706" s="690"/>
      <c r="T706" s="690"/>
      <c r="U706" s="690"/>
      <c r="V706" s="690"/>
      <c r="W706" s="690"/>
      <c r="X706" s="690"/>
      <c r="Y706" s="690"/>
      <c r="Z706" s="690"/>
      <c r="AA706" s="690"/>
      <c r="AB706" s="690"/>
      <c r="AC706" s="690"/>
      <c r="AD706" s="690"/>
      <c r="AE706" s="690"/>
    </row>
    <row r="707" spans="1:31" ht="15.75" customHeight="1">
      <c r="A707" s="690"/>
      <c r="B707" s="690"/>
      <c r="C707" s="690"/>
      <c r="D707" s="690"/>
      <c r="E707" s="690"/>
      <c r="F707" s="690"/>
      <c r="G707" s="690"/>
      <c r="H707" s="690"/>
      <c r="I707" s="690"/>
      <c r="J707" s="690"/>
      <c r="K707" s="690"/>
      <c r="L707" s="690"/>
      <c r="M707" s="690"/>
      <c r="N707" s="690"/>
      <c r="O707" s="690"/>
      <c r="P707" s="690"/>
      <c r="Q707" s="690"/>
      <c r="R707" s="690"/>
      <c r="S707" s="690"/>
      <c r="T707" s="690"/>
      <c r="U707" s="690"/>
      <c r="V707" s="690"/>
      <c r="W707" s="690"/>
      <c r="X707" s="690"/>
      <c r="Y707" s="690"/>
      <c r="Z707" s="690"/>
      <c r="AA707" s="690"/>
      <c r="AB707" s="690"/>
      <c r="AC707" s="690"/>
      <c r="AD707" s="690"/>
      <c r="AE707" s="690"/>
    </row>
    <row r="708" spans="1:31" ht="15.75" customHeight="1">
      <c r="A708" s="690"/>
      <c r="B708" s="690"/>
      <c r="C708" s="690"/>
      <c r="D708" s="690"/>
      <c r="E708" s="690"/>
      <c r="F708" s="690"/>
      <c r="G708" s="690"/>
      <c r="H708" s="690"/>
      <c r="I708" s="690"/>
      <c r="J708" s="690"/>
      <c r="K708" s="690"/>
      <c r="L708" s="690"/>
      <c r="M708" s="690"/>
      <c r="N708" s="690"/>
      <c r="O708" s="690"/>
      <c r="P708" s="690"/>
      <c r="Q708" s="690"/>
      <c r="R708" s="690"/>
      <c r="S708" s="690"/>
      <c r="T708" s="690"/>
      <c r="U708" s="690"/>
      <c r="V708" s="690"/>
      <c r="W708" s="690"/>
      <c r="X708" s="690"/>
      <c r="Y708" s="690"/>
      <c r="Z708" s="690"/>
      <c r="AA708" s="690"/>
      <c r="AB708" s="690"/>
      <c r="AC708" s="690"/>
      <c r="AD708" s="690"/>
      <c r="AE708" s="690"/>
    </row>
    <row r="709" spans="1:31" ht="15.75" customHeight="1">
      <c r="A709" s="690"/>
      <c r="B709" s="690"/>
      <c r="C709" s="690"/>
      <c r="D709" s="690"/>
      <c r="E709" s="690"/>
      <c r="F709" s="690"/>
      <c r="G709" s="690"/>
      <c r="H709" s="690"/>
      <c r="I709" s="690"/>
      <c r="J709" s="690"/>
      <c r="K709" s="690"/>
      <c r="L709" s="690"/>
      <c r="M709" s="690"/>
      <c r="N709" s="690"/>
      <c r="O709" s="690"/>
      <c r="P709" s="690"/>
      <c r="Q709" s="690"/>
      <c r="R709" s="690"/>
      <c r="S709" s="690"/>
      <c r="T709" s="690"/>
      <c r="U709" s="690"/>
      <c r="V709" s="690"/>
      <c r="W709" s="690"/>
      <c r="X709" s="690"/>
      <c r="Y709" s="690"/>
      <c r="Z709" s="690"/>
      <c r="AA709" s="690"/>
      <c r="AB709" s="690"/>
      <c r="AC709" s="690"/>
      <c r="AD709" s="690"/>
      <c r="AE709" s="690"/>
    </row>
    <row r="710" spans="1:31" ht="15.75" customHeight="1">
      <c r="A710" s="690"/>
      <c r="B710" s="690"/>
      <c r="C710" s="690"/>
      <c r="D710" s="690"/>
      <c r="E710" s="690"/>
      <c r="F710" s="690"/>
      <c r="G710" s="690"/>
      <c r="H710" s="690"/>
      <c r="I710" s="690"/>
      <c r="J710" s="690"/>
      <c r="K710" s="690"/>
      <c r="L710" s="690"/>
      <c r="M710" s="690"/>
      <c r="N710" s="690"/>
      <c r="O710" s="690"/>
      <c r="P710" s="690"/>
      <c r="Q710" s="690"/>
      <c r="R710" s="690"/>
      <c r="S710" s="690"/>
      <c r="T710" s="690"/>
      <c r="U710" s="690"/>
      <c r="V710" s="690"/>
      <c r="W710" s="690"/>
      <c r="X710" s="690"/>
      <c r="Y710" s="690"/>
      <c r="Z710" s="690"/>
      <c r="AA710" s="690"/>
      <c r="AB710" s="690"/>
      <c r="AC710" s="690"/>
      <c r="AD710" s="690"/>
      <c r="AE710" s="690"/>
    </row>
    <row r="711" spans="1:31" ht="15.75" customHeight="1">
      <c r="A711" s="690"/>
      <c r="B711" s="690"/>
      <c r="C711" s="690"/>
      <c r="D711" s="690"/>
      <c r="E711" s="690"/>
      <c r="F711" s="690"/>
      <c r="G711" s="690"/>
      <c r="H711" s="690"/>
      <c r="I711" s="690"/>
      <c r="J711" s="690"/>
      <c r="K711" s="690"/>
      <c r="L711" s="690"/>
      <c r="M711" s="690"/>
      <c r="N711" s="690"/>
      <c r="O711" s="690"/>
      <c r="P711" s="690"/>
      <c r="Q711" s="690"/>
      <c r="R711" s="690"/>
      <c r="S711" s="690"/>
      <c r="T711" s="690"/>
      <c r="U711" s="690"/>
      <c r="V711" s="690"/>
      <c r="W711" s="690"/>
      <c r="X711" s="690"/>
      <c r="Y711" s="690"/>
      <c r="Z711" s="690"/>
      <c r="AA711" s="690"/>
      <c r="AB711" s="690"/>
      <c r="AC711" s="690"/>
      <c r="AD711" s="690"/>
      <c r="AE711" s="690"/>
    </row>
    <row r="712" spans="1:31" ht="15.75" customHeight="1">
      <c r="A712" s="690"/>
      <c r="B712" s="690"/>
      <c r="C712" s="690"/>
      <c r="D712" s="690"/>
      <c r="E712" s="690"/>
      <c r="F712" s="690"/>
      <c r="G712" s="690"/>
      <c r="H712" s="690"/>
      <c r="I712" s="690"/>
      <c r="J712" s="690"/>
      <c r="K712" s="690"/>
      <c r="L712" s="690"/>
      <c r="M712" s="690"/>
      <c r="N712" s="690"/>
      <c r="O712" s="690"/>
      <c r="P712" s="690"/>
      <c r="Q712" s="690"/>
      <c r="R712" s="690"/>
      <c r="S712" s="690"/>
      <c r="T712" s="690"/>
      <c r="U712" s="690"/>
      <c r="V712" s="690"/>
      <c r="W712" s="690"/>
      <c r="X712" s="690"/>
      <c r="Y712" s="690"/>
      <c r="Z712" s="690"/>
      <c r="AA712" s="690"/>
      <c r="AB712" s="690"/>
      <c r="AC712" s="690"/>
      <c r="AD712" s="690"/>
      <c r="AE712" s="690"/>
    </row>
    <row r="713" spans="1:31" ht="15.75" customHeight="1">
      <c r="A713" s="690"/>
      <c r="B713" s="690"/>
      <c r="C713" s="690"/>
      <c r="D713" s="690"/>
      <c r="E713" s="690"/>
      <c r="F713" s="690"/>
      <c r="G713" s="690"/>
      <c r="H713" s="690"/>
      <c r="I713" s="690"/>
      <c r="J713" s="690"/>
      <c r="K713" s="690"/>
      <c r="L713" s="690"/>
      <c r="M713" s="690"/>
      <c r="N713" s="690"/>
      <c r="O713" s="690"/>
      <c r="P713" s="690"/>
      <c r="Q713" s="690"/>
      <c r="R713" s="690"/>
      <c r="S713" s="690"/>
      <c r="T713" s="690"/>
      <c r="U713" s="690"/>
      <c r="V713" s="690"/>
      <c r="W713" s="690"/>
      <c r="X713" s="690"/>
      <c r="Y713" s="690"/>
      <c r="Z713" s="690"/>
      <c r="AA713" s="690"/>
      <c r="AB713" s="690"/>
      <c r="AC713" s="690"/>
      <c r="AD713" s="690"/>
      <c r="AE713" s="690"/>
    </row>
    <row r="714" spans="1:31" ht="15.75" customHeight="1">
      <c r="A714" s="690"/>
      <c r="B714" s="690"/>
      <c r="C714" s="690"/>
      <c r="D714" s="690"/>
      <c r="E714" s="690"/>
      <c r="F714" s="690"/>
      <c r="G714" s="690"/>
      <c r="H714" s="690"/>
      <c r="I714" s="690"/>
      <c r="J714" s="690"/>
      <c r="K714" s="690"/>
      <c r="L714" s="690"/>
      <c r="M714" s="690"/>
      <c r="N714" s="690"/>
      <c r="O714" s="690"/>
      <c r="P714" s="690"/>
      <c r="Q714" s="690"/>
      <c r="R714" s="690"/>
      <c r="S714" s="690"/>
      <c r="T714" s="690"/>
      <c r="U714" s="690"/>
      <c r="V714" s="690"/>
      <c r="W714" s="690"/>
      <c r="X714" s="690"/>
      <c r="Y714" s="690"/>
      <c r="Z714" s="690"/>
      <c r="AA714" s="690"/>
      <c r="AB714" s="690"/>
      <c r="AC714" s="690"/>
      <c r="AD714" s="690"/>
      <c r="AE714" s="690"/>
    </row>
    <row r="715" spans="1:31" ht="15.75" customHeight="1">
      <c r="A715" s="690"/>
      <c r="B715" s="690"/>
      <c r="C715" s="690"/>
      <c r="D715" s="690"/>
      <c r="E715" s="690"/>
      <c r="F715" s="690"/>
      <c r="G715" s="690"/>
      <c r="H715" s="690"/>
      <c r="I715" s="690"/>
      <c r="J715" s="690"/>
      <c r="K715" s="690"/>
      <c r="L715" s="690"/>
      <c r="M715" s="690"/>
      <c r="N715" s="690"/>
      <c r="O715" s="690"/>
      <c r="P715" s="690"/>
      <c r="Q715" s="690"/>
      <c r="R715" s="690"/>
      <c r="S715" s="690"/>
      <c r="T715" s="690"/>
      <c r="U715" s="690"/>
      <c r="V715" s="690"/>
      <c r="W715" s="690"/>
      <c r="X715" s="690"/>
      <c r="Y715" s="690"/>
      <c r="Z715" s="690"/>
      <c r="AA715" s="690"/>
      <c r="AB715" s="690"/>
      <c r="AC715" s="690"/>
      <c r="AD715" s="690"/>
      <c r="AE715" s="690"/>
    </row>
    <row r="716" spans="1:31" ht="15.75" customHeight="1">
      <c r="A716" s="690"/>
      <c r="B716" s="690"/>
      <c r="C716" s="690"/>
      <c r="D716" s="690"/>
      <c r="E716" s="690"/>
      <c r="F716" s="690"/>
      <c r="G716" s="690"/>
      <c r="H716" s="690"/>
      <c r="I716" s="690"/>
      <c r="J716" s="690"/>
      <c r="K716" s="690"/>
      <c r="L716" s="690"/>
      <c r="M716" s="690"/>
      <c r="N716" s="690"/>
      <c r="O716" s="690"/>
      <c r="P716" s="690"/>
      <c r="Q716" s="690"/>
      <c r="R716" s="690"/>
      <c r="S716" s="690"/>
      <c r="T716" s="690"/>
      <c r="U716" s="690"/>
      <c r="V716" s="690"/>
      <c r="W716" s="690"/>
      <c r="X716" s="690"/>
      <c r="Y716" s="690"/>
      <c r="Z716" s="690"/>
      <c r="AA716" s="690"/>
      <c r="AB716" s="690"/>
      <c r="AC716" s="690"/>
      <c r="AD716" s="690"/>
      <c r="AE716" s="690"/>
    </row>
    <row r="717" spans="1:31" ht="15.75" customHeight="1">
      <c r="A717" s="690"/>
      <c r="B717" s="690"/>
      <c r="C717" s="690"/>
      <c r="D717" s="690"/>
      <c r="E717" s="690"/>
      <c r="F717" s="690"/>
      <c r="G717" s="690"/>
      <c r="H717" s="690"/>
      <c r="I717" s="690"/>
      <c r="J717" s="690"/>
      <c r="K717" s="690"/>
      <c r="L717" s="690"/>
      <c r="M717" s="690"/>
      <c r="N717" s="690"/>
      <c r="O717" s="690"/>
      <c r="P717" s="690"/>
      <c r="Q717" s="690"/>
      <c r="R717" s="690"/>
      <c r="S717" s="690"/>
      <c r="T717" s="690"/>
      <c r="U717" s="690"/>
      <c r="V717" s="690"/>
      <c r="W717" s="690"/>
      <c r="X717" s="690"/>
      <c r="Y717" s="690"/>
      <c r="Z717" s="690"/>
      <c r="AA717" s="690"/>
      <c r="AB717" s="690"/>
      <c r="AC717" s="690"/>
      <c r="AD717" s="690"/>
      <c r="AE717" s="690"/>
    </row>
    <row r="718" spans="1:31" ht="15.75" customHeight="1">
      <c r="A718" s="690"/>
      <c r="B718" s="690"/>
      <c r="C718" s="690"/>
      <c r="D718" s="690"/>
      <c r="E718" s="690"/>
      <c r="F718" s="690"/>
      <c r="G718" s="690"/>
      <c r="H718" s="690"/>
      <c r="I718" s="690"/>
      <c r="J718" s="690"/>
      <c r="K718" s="690"/>
      <c r="L718" s="690"/>
      <c r="M718" s="690"/>
      <c r="N718" s="690"/>
      <c r="O718" s="690"/>
      <c r="P718" s="690"/>
      <c r="Q718" s="690"/>
      <c r="R718" s="690"/>
      <c r="S718" s="690"/>
      <c r="T718" s="690"/>
      <c r="U718" s="690"/>
      <c r="V718" s="690"/>
      <c r="W718" s="690"/>
      <c r="X718" s="690"/>
      <c r="Y718" s="690"/>
      <c r="Z718" s="690"/>
      <c r="AA718" s="690"/>
      <c r="AB718" s="690"/>
      <c r="AC718" s="690"/>
      <c r="AD718" s="690"/>
      <c r="AE718" s="690"/>
    </row>
    <row r="719" spans="1:31" ht="15.75" customHeight="1">
      <c r="A719" s="690"/>
      <c r="B719" s="690"/>
      <c r="C719" s="690"/>
      <c r="D719" s="690"/>
      <c r="E719" s="690"/>
      <c r="F719" s="690"/>
      <c r="G719" s="690"/>
      <c r="H719" s="690"/>
      <c r="I719" s="690"/>
      <c r="J719" s="690"/>
      <c r="K719" s="690"/>
      <c r="L719" s="690"/>
      <c r="M719" s="690"/>
      <c r="N719" s="690"/>
      <c r="O719" s="690"/>
      <c r="P719" s="690"/>
      <c r="Q719" s="690"/>
      <c r="R719" s="690"/>
      <c r="S719" s="690"/>
      <c r="T719" s="690"/>
      <c r="U719" s="690"/>
      <c r="V719" s="690"/>
      <c r="W719" s="690"/>
      <c r="X719" s="690"/>
      <c r="Y719" s="690"/>
      <c r="Z719" s="690"/>
      <c r="AA719" s="690"/>
      <c r="AB719" s="690"/>
      <c r="AC719" s="690"/>
      <c r="AD719" s="690"/>
      <c r="AE719" s="690"/>
    </row>
    <row r="720" spans="1:31" ht="15.75" customHeight="1">
      <c r="A720" s="690"/>
      <c r="B720" s="690"/>
      <c r="C720" s="690"/>
      <c r="D720" s="690"/>
      <c r="E720" s="690"/>
      <c r="F720" s="690"/>
      <c r="G720" s="690"/>
      <c r="H720" s="690"/>
      <c r="I720" s="690"/>
      <c r="J720" s="690"/>
      <c r="K720" s="690"/>
      <c r="L720" s="690"/>
      <c r="M720" s="690"/>
      <c r="N720" s="690"/>
      <c r="O720" s="690"/>
      <c r="P720" s="690"/>
      <c r="Q720" s="690"/>
      <c r="R720" s="690"/>
      <c r="S720" s="690"/>
      <c r="T720" s="690"/>
      <c r="U720" s="690"/>
      <c r="V720" s="690"/>
      <c r="W720" s="690"/>
      <c r="X720" s="690"/>
      <c r="Y720" s="690"/>
      <c r="Z720" s="690"/>
      <c r="AA720" s="690"/>
      <c r="AB720" s="690"/>
      <c r="AC720" s="690"/>
      <c r="AD720" s="690"/>
      <c r="AE720" s="690"/>
    </row>
    <row r="721" spans="1:31" ht="15.75" customHeight="1">
      <c r="A721" s="690"/>
      <c r="B721" s="690"/>
      <c r="C721" s="690"/>
      <c r="D721" s="690"/>
      <c r="E721" s="690"/>
      <c r="F721" s="690"/>
      <c r="G721" s="690"/>
      <c r="H721" s="690"/>
      <c r="I721" s="690"/>
      <c r="J721" s="690"/>
      <c r="K721" s="690"/>
      <c r="L721" s="690"/>
      <c r="M721" s="690"/>
      <c r="N721" s="690"/>
      <c r="O721" s="690"/>
      <c r="P721" s="690"/>
      <c r="Q721" s="690"/>
      <c r="R721" s="690"/>
      <c r="S721" s="690"/>
      <c r="T721" s="690"/>
      <c r="U721" s="690"/>
      <c r="V721" s="690"/>
      <c r="W721" s="690"/>
      <c r="X721" s="690"/>
      <c r="Y721" s="690"/>
      <c r="Z721" s="690"/>
      <c r="AA721" s="690"/>
      <c r="AB721" s="690"/>
      <c r="AC721" s="690"/>
      <c r="AD721" s="690"/>
      <c r="AE721" s="690"/>
    </row>
    <row r="722" spans="1:31" ht="15.75" customHeight="1">
      <c r="A722" s="690"/>
      <c r="B722" s="690"/>
      <c r="C722" s="690"/>
      <c r="D722" s="690"/>
      <c r="E722" s="690"/>
      <c r="F722" s="690"/>
      <c r="G722" s="690"/>
      <c r="H722" s="690"/>
      <c r="I722" s="690"/>
      <c r="J722" s="690"/>
      <c r="K722" s="690"/>
      <c r="L722" s="690"/>
      <c r="M722" s="690"/>
      <c r="N722" s="690"/>
      <c r="O722" s="690"/>
      <c r="P722" s="690"/>
      <c r="Q722" s="690"/>
      <c r="R722" s="690"/>
      <c r="S722" s="690"/>
      <c r="T722" s="690"/>
      <c r="U722" s="690"/>
      <c r="V722" s="690"/>
      <c r="W722" s="690"/>
      <c r="X722" s="690"/>
      <c r="Y722" s="690"/>
      <c r="Z722" s="690"/>
      <c r="AA722" s="690"/>
      <c r="AB722" s="690"/>
      <c r="AC722" s="690"/>
      <c r="AD722" s="690"/>
      <c r="AE722" s="690"/>
    </row>
    <row r="723" spans="1:31" ht="15.75" customHeight="1">
      <c r="A723" s="690"/>
      <c r="B723" s="690"/>
      <c r="C723" s="690"/>
      <c r="D723" s="690"/>
      <c r="E723" s="690"/>
      <c r="F723" s="690"/>
      <c r="G723" s="690"/>
      <c r="H723" s="690"/>
      <c r="I723" s="690"/>
      <c r="J723" s="690"/>
      <c r="K723" s="690"/>
      <c r="L723" s="690"/>
      <c r="M723" s="690"/>
      <c r="N723" s="690"/>
      <c r="O723" s="690"/>
      <c r="P723" s="690"/>
      <c r="Q723" s="690"/>
      <c r="R723" s="690"/>
      <c r="S723" s="690"/>
      <c r="T723" s="690"/>
      <c r="U723" s="690"/>
      <c r="V723" s="690"/>
      <c r="W723" s="690"/>
      <c r="X723" s="690"/>
      <c r="Y723" s="690"/>
      <c r="Z723" s="690"/>
      <c r="AA723" s="690"/>
      <c r="AB723" s="690"/>
      <c r="AC723" s="690"/>
      <c r="AD723" s="690"/>
      <c r="AE723" s="690"/>
    </row>
    <row r="724" spans="1:31" ht="15.75" customHeight="1">
      <c r="A724" s="690"/>
      <c r="B724" s="690"/>
      <c r="C724" s="690"/>
      <c r="D724" s="690"/>
      <c r="E724" s="690"/>
      <c r="F724" s="690"/>
      <c r="G724" s="690"/>
      <c r="H724" s="690"/>
      <c r="I724" s="690"/>
      <c r="J724" s="690"/>
      <c r="K724" s="690"/>
      <c r="L724" s="690"/>
      <c r="M724" s="690"/>
      <c r="N724" s="690"/>
      <c r="O724" s="690"/>
      <c r="P724" s="690"/>
      <c r="Q724" s="690"/>
      <c r="R724" s="690"/>
      <c r="S724" s="690"/>
      <c r="T724" s="690"/>
      <c r="U724" s="690"/>
      <c r="V724" s="690"/>
      <c r="W724" s="690"/>
      <c r="X724" s="690"/>
      <c r="Y724" s="690"/>
      <c r="Z724" s="690"/>
      <c r="AA724" s="690"/>
      <c r="AB724" s="690"/>
      <c r="AC724" s="690"/>
      <c r="AD724" s="690"/>
      <c r="AE724" s="690"/>
    </row>
    <row r="725" spans="1:31" ht="15.75" customHeight="1">
      <c r="A725" s="690"/>
      <c r="B725" s="690"/>
      <c r="C725" s="690"/>
      <c r="D725" s="690"/>
      <c r="E725" s="690"/>
      <c r="F725" s="690"/>
      <c r="G725" s="690"/>
      <c r="H725" s="690"/>
      <c r="I725" s="690"/>
      <c r="J725" s="690"/>
      <c r="K725" s="690"/>
      <c r="L725" s="690"/>
      <c r="M725" s="690"/>
      <c r="N725" s="690"/>
      <c r="O725" s="690"/>
      <c r="P725" s="690"/>
      <c r="Q725" s="690"/>
      <c r="R725" s="690"/>
      <c r="S725" s="690"/>
      <c r="T725" s="690"/>
      <c r="U725" s="690"/>
      <c r="V725" s="690"/>
      <c r="W725" s="690"/>
      <c r="X725" s="690"/>
      <c r="Y725" s="690"/>
      <c r="Z725" s="690"/>
      <c r="AA725" s="690"/>
      <c r="AB725" s="690"/>
      <c r="AC725" s="690"/>
      <c r="AD725" s="690"/>
      <c r="AE725" s="690"/>
    </row>
    <row r="726" spans="1:31" ht="15.75" customHeight="1">
      <c r="A726" s="690"/>
      <c r="B726" s="690"/>
      <c r="C726" s="690"/>
      <c r="D726" s="690"/>
      <c r="E726" s="690"/>
      <c r="F726" s="690"/>
      <c r="G726" s="690"/>
      <c r="H726" s="690"/>
      <c r="I726" s="690"/>
      <c r="J726" s="690"/>
      <c r="K726" s="690"/>
      <c r="L726" s="690"/>
      <c r="M726" s="690"/>
      <c r="N726" s="690"/>
      <c r="O726" s="690"/>
      <c r="P726" s="690"/>
      <c r="Q726" s="690"/>
      <c r="R726" s="690"/>
      <c r="S726" s="690"/>
      <c r="T726" s="690"/>
      <c r="U726" s="690"/>
      <c r="V726" s="690"/>
      <c r="W726" s="690"/>
      <c r="X726" s="690"/>
      <c r="Y726" s="690"/>
      <c r="Z726" s="690"/>
      <c r="AA726" s="690"/>
      <c r="AB726" s="690"/>
      <c r="AC726" s="690"/>
      <c r="AD726" s="690"/>
      <c r="AE726" s="690"/>
    </row>
    <row r="727" spans="1:31" ht="15.75" customHeight="1">
      <c r="A727" s="690"/>
      <c r="B727" s="690"/>
      <c r="C727" s="690"/>
      <c r="D727" s="690"/>
      <c r="E727" s="690"/>
      <c r="F727" s="690"/>
      <c r="G727" s="690"/>
      <c r="H727" s="690"/>
      <c r="I727" s="690"/>
      <c r="J727" s="690"/>
      <c r="K727" s="690"/>
      <c r="L727" s="690"/>
      <c r="M727" s="690"/>
      <c r="N727" s="690"/>
      <c r="O727" s="690"/>
      <c r="P727" s="690"/>
      <c r="Q727" s="690"/>
      <c r="R727" s="690"/>
      <c r="S727" s="690"/>
      <c r="T727" s="690"/>
      <c r="U727" s="690"/>
      <c r="V727" s="690"/>
      <c r="W727" s="690"/>
      <c r="X727" s="690"/>
      <c r="Y727" s="690"/>
      <c r="Z727" s="690"/>
      <c r="AA727" s="690"/>
      <c r="AB727" s="690"/>
      <c r="AC727" s="690"/>
      <c r="AD727" s="690"/>
      <c r="AE727" s="690"/>
    </row>
    <row r="728" spans="1:31" ht="15.75" customHeight="1">
      <c r="A728" s="690"/>
      <c r="B728" s="690"/>
      <c r="C728" s="690"/>
      <c r="D728" s="690"/>
      <c r="E728" s="690"/>
      <c r="F728" s="690"/>
      <c r="G728" s="690"/>
      <c r="H728" s="690"/>
      <c r="I728" s="690"/>
      <c r="J728" s="690"/>
      <c r="K728" s="690"/>
      <c r="L728" s="690"/>
      <c r="M728" s="690"/>
      <c r="N728" s="690"/>
      <c r="O728" s="690"/>
      <c r="P728" s="690"/>
      <c r="Q728" s="690"/>
      <c r="R728" s="690"/>
      <c r="S728" s="690"/>
      <c r="T728" s="690"/>
      <c r="U728" s="690"/>
      <c r="V728" s="690"/>
      <c r="W728" s="690"/>
      <c r="X728" s="690"/>
      <c r="Y728" s="690"/>
      <c r="Z728" s="690"/>
      <c r="AA728" s="690"/>
      <c r="AB728" s="690"/>
      <c r="AC728" s="690"/>
      <c r="AD728" s="690"/>
      <c r="AE728" s="690"/>
    </row>
    <row r="729" spans="1:31" ht="15.75" customHeight="1">
      <c r="A729" s="690"/>
      <c r="B729" s="690"/>
      <c r="C729" s="690"/>
      <c r="D729" s="690"/>
      <c r="E729" s="690"/>
      <c r="F729" s="690"/>
      <c r="G729" s="690"/>
      <c r="H729" s="690"/>
      <c r="I729" s="690"/>
      <c r="J729" s="690"/>
      <c r="K729" s="690"/>
      <c r="L729" s="690"/>
      <c r="M729" s="690"/>
      <c r="N729" s="690"/>
      <c r="O729" s="690"/>
      <c r="P729" s="690"/>
      <c r="Q729" s="690"/>
      <c r="R729" s="690"/>
      <c r="S729" s="690"/>
      <c r="T729" s="690"/>
      <c r="U729" s="690"/>
      <c r="V729" s="690"/>
      <c r="W729" s="690"/>
      <c r="X729" s="690"/>
      <c r="Y729" s="690"/>
      <c r="Z729" s="690"/>
      <c r="AA729" s="690"/>
      <c r="AB729" s="690"/>
      <c r="AC729" s="690"/>
      <c r="AD729" s="690"/>
      <c r="AE729" s="690"/>
    </row>
    <row r="730" spans="1:31" ht="15.75" customHeight="1">
      <c r="A730" s="690"/>
      <c r="B730" s="690"/>
      <c r="C730" s="690"/>
      <c r="D730" s="690"/>
      <c r="E730" s="690"/>
      <c r="F730" s="690"/>
      <c r="G730" s="690"/>
      <c r="H730" s="690"/>
      <c r="I730" s="690"/>
      <c r="J730" s="690"/>
      <c r="K730" s="690"/>
      <c r="L730" s="690"/>
      <c r="M730" s="690"/>
      <c r="N730" s="690"/>
      <c r="O730" s="690"/>
      <c r="P730" s="690"/>
      <c r="Q730" s="690"/>
      <c r="R730" s="690"/>
      <c r="S730" s="690"/>
      <c r="T730" s="690"/>
      <c r="U730" s="690"/>
      <c r="V730" s="690"/>
      <c r="W730" s="690"/>
      <c r="X730" s="690"/>
      <c r="Y730" s="690"/>
      <c r="Z730" s="690"/>
      <c r="AA730" s="690"/>
      <c r="AB730" s="690"/>
      <c r="AC730" s="690"/>
      <c r="AD730" s="690"/>
      <c r="AE730" s="690"/>
    </row>
    <row r="731" spans="1:31" ht="15.75" customHeight="1">
      <c r="A731" s="690"/>
      <c r="B731" s="690"/>
      <c r="C731" s="690"/>
      <c r="D731" s="690"/>
      <c r="E731" s="690"/>
      <c r="F731" s="690"/>
      <c r="G731" s="690"/>
      <c r="H731" s="690"/>
      <c r="I731" s="690"/>
      <c r="J731" s="690"/>
      <c r="K731" s="690"/>
      <c r="L731" s="690"/>
      <c r="M731" s="690"/>
      <c r="N731" s="690"/>
      <c r="O731" s="690"/>
      <c r="P731" s="690"/>
      <c r="Q731" s="690"/>
      <c r="R731" s="690"/>
      <c r="S731" s="690"/>
      <c r="T731" s="690"/>
      <c r="U731" s="690"/>
      <c r="V731" s="690"/>
      <c r="W731" s="690"/>
      <c r="X731" s="690"/>
      <c r="Y731" s="690"/>
      <c r="Z731" s="690"/>
      <c r="AA731" s="690"/>
      <c r="AB731" s="690"/>
      <c r="AC731" s="690"/>
      <c r="AD731" s="690"/>
      <c r="AE731" s="690"/>
    </row>
    <row r="732" spans="1:31" ht="15.75" customHeight="1">
      <c r="A732" s="690"/>
      <c r="B732" s="690"/>
      <c r="C732" s="690"/>
      <c r="D732" s="690"/>
      <c r="E732" s="690"/>
      <c r="F732" s="690"/>
      <c r="G732" s="690"/>
      <c r="H732" s="690"/>
      <c r="I732" s="690"/>
      <c r="J732" s="690"/>
      <c r="K732" s="690"/>
      <c r="L732" s="690"/>
      <c r="M732" s="690"/>
      <c r="N732" s="690"/>
      <c r="O732" s="690"/>
      <c r="P732" s="690"/>
      <c r="Q732" s="690"/>
      <c r="R732" s="690"/>
      <c r="S732" s="690"/>
      <c r="T732" s="690"/>
      <c r="U732" s="690"/>
      <c r="V732" s="690"/>
      <c r="W732" s="690"/>
      <c r="X732" s="690"/>
      <c r="Y732" s="690"/>
      <c r="Z732" s="690"/>
      <c r="AA732" s="690"/>
      <c r="AB732" s="690"/>
      <c r="AC732" s="690"/>
      <c r="AD732" s="690"/>
      <c r="AE732" s="690"/>
    </row>
    <row r="733" spans="1:31" ht="15.75" customHeight="1">
      <c r="A733" s="690"/>
      <c r="B733" s="690"/>
      <c r="C733" s="690"/>
      <c r="D733" s="690"/>
      <c r="E733" s="690"/>
      <c r="F733" s="690"/>
      <c r="G733" s="690"/>
      <c r="H733" s="690"/>
      <c r="I733" s="690"/>
      <c r="J733" s="690"/>
      <c r="K733" s="690"/>
      <c r="L733" s="690"/>
      <c r="M733" s="690"/>
      <c r="N733" s="690"/>
      <c r="O733" s="690"/>
      <c r="P733" s="690"/>
      <c r="Q733" s="690"/>
      <c r="R733" s="690"/>
      <c r="S733" s="690"/>
      <c r="T733" s="690"/>
      <c r="U733" s="690"/>
      <c r="V733" s="690"/>
      <c r="W733" s="690"/>
      <c r="X733" s="690"/>
      <c r="Y733" s="690"/>
      <c r="Z733" s="690"/>
      <c r="AA733" s="690"/>
      <c r="AB733" s="690"/>
      <c r="AC733" s="690"/>
      <c r="AD733" s="690"/>
      <c r="AE733" s="690"/>
    </row>
    <row r="734" spans="1:31" ht="15.75" customHeight="1">
      <c r="A734" s="690"/>
      <c r="B734" s="690"/>
      <c r="C734" s="690"/>
      <c r="D734" s="690"/>
      <c r="E734" s="690"/>
      <c r="F734" s="690"/>
      <c r="G734" s="690"/>
      <c r="H734" s="690"/>
      <c r="I734" s="690"/>
      <c r="J734" s="690"/>
      <c r="K734" s="690"/>
      <c r="L734" s="690"/>
      <c r="M734" s="690"/>
      <c r="N734" s="690"/>
      <c r="O734" s="690"/>
      <c r="P734" s="690"/>
      <c r="Q734" s="690"/>
      <c r="R734" s="690"/>
      <c r="S734" s="690"/>
      <c r="T734" s="690"/>
      <c r="U734" s="690"/>
      <c r="V734" s="690"/>
      <c r="W734" s="690"/>
      <c r="X734" s="690"/>
      <c r="Y734" s="690"/>
      <c r="Z734" s="690"/>
      <c r="AA734" s="690"/>
      <c r="AB734" s="690"/>
      <c r="AC734" s="690"/>
      <c r="AD734" s="690"/>
      <c r="AE734" s="690"/>
    </row>
    <row r="735" spans="1:31" ht="15.75" customHeight="1">
      <c r="A735" s="690"/>
      <c r="B735" s="690"/>
      <c r="C735" s="690"/>
      <c r="D735" s="690"/>
      <c r="E735" s="690"/>
      <c r="F735" s="690"/>
      <c r="G735" s="690"/>
      <c r="H735" s="690"/>
      <c r="I735" s="690"/>
      <c r="J735" s="690"/>
      <c r="K735" s="690"/>
      <c r="L735" s="690"/>
      <c r="M735" s="690"/>
      <c r="N735" s="690"/>
      <c r="O735" s="690"/>
      <c r="P735" s="690"/>
      <c r="Q735" s="690"/>
      <c r="R735" s="690"/>
      <c r="S735" s="690"/>
      <c r="T735" s="690"/>
      <c r="U735" s="690"/>
      <c r="V735" s="690"/>
      <c r="W735" s="690"/>
      <c r="X735" s="690"/>
      <c r="Y735" s="690"/>
      <c r="Z735" s="690"/>
      <c r="AA735" s="690"/>
      <c r="AB735" s="690"/>
      <c r="AC735" s="690"/>
      <c r="AD735" s="690"/>
      <c r="AE735" s="690"/>
    </row>
    <row r="736" spans="1:31" ht="15.75" customHeight="1">
      <c r="A736" s="690"/>
      <c r="B736" s="690"/>
      <c r="C736" s="690"/>
      <c r="D736" s="690"/>
      <c r="E736" s="690"/>
      <c r="F736" s="690"/>
      <c r="G736" s="690"/>
      <c r="H736" s="690"/>
      <c r="I736" s="690"/>
      <c r="J736" s="690"/>
      <c r="K736" s="690"/>
      <c r="L736" s="690"/>
      <c r="M736" s="690"/>
      <c r="N736" s="690"/>
      <c r="O736" s="690"/>
      <c r="P736" s="690"/>
      <c r="Q736" s="690"/>
      <c r="R736" s="690"/>
      <c r="S736" s="690"/>
      <c r="T736" s="690"/>
      <c r="U736" s="690"/>
      <c r="V736" s="690"/>
      <c r="W736" s="690"/>
      <c r="X736" s="690"/>
      <c r="Y736" s="690"/>
      <c r="Z736" s="690"/>
      <c r="AA736" s="690"/>
      <c r="AB736" s="690"/>
      <c r="AC736" s="690"/>
      <c r="AD736" s="690"/>
      <c r="AE736" s="690"/>
    </row>
    <row r="737" spans="1:31" ht="15.75" customHeight="1">
      <c r="A737" s="690"/>
      <c r="B737" s="690"/>
      <c r="C737" s="690"/>
      <c r="D737" s="690"/>
      <c r="E737" s="690"/>
      <c r="F737" s="690"/>
      <c r="G737" s="690"/>
      <c r="H737" s="690"/>
      <c r="I737" s="690"/>
      <c r="J737" s="690"/>
      <c r="K737" s="690"/>
      <c r="L737" s="690"/>
      <c r="M737" s="690"/>
      <c r="N737" s="690"/>
      <c r="O737" s="690"/>
      <c r="P737" s="690"/>
      <c r="Q737" s="690"/>
      <c r="R737" s="690"/>
      <c r="S737" s="690"/>
      <c r="T737" s="690"/>
      <c r="U737" s="690"/>
      <c r="V737" s="690"/>
      <c r="W737" s="690"/>
      <c r="X737" s="690"/>
      <c r="Y737" s="690"/>
      <c r="Z737" s="690"/>
      <c r="AA737" s="690"/>
      <c r="AB737" s="690"/>
      <c r="AC737" s="690"/>
      <c r="AD737" s="690"/>
      <c r="AE737" s="690"/>
    </row>
    <row r="738" spans="1:31" ht="15.75" customHeight="1">
      <c r="A738" s="690"/>
      <c r="B738" s="690"/>
      <c r="C738" s="690"/>
      <c r="D738" s="690"/>
      <c r="E738" s="690"/>
      <c r="F738" s="690"/>
      <c r="G738" s="690"/>
      <c r="H738" s="690"/>
      <c r="I738" s="690"/>
      <c r="J738" s="690"/>
      <c r="K738" s="690"/>
      <c r="L738" s="690"/>
      <c r="M738" s="690"/>
      <c r="N738" s="690"/>
      <c r="O738" s="690"/>
      <c r="P738" s="690"/>
      <c r="Q738" s="690"/>
      <c r="R738" s="690"/>
      <c r="S738" s="690"/>
      <c r="T738" s="690"/>
      <c r="U738" s="690"/>
      <c r="V738" s="690"/>
      <c r="W738" s="690"/>
      <c r="X738" s="690"/>
      <c r="Y738" s="690"/>
      <c r="Z738" s="690"/>
      <c r="AA738" s="690"/>
      <c r="AB738" s="690"/>
      <c r="AC738" s="690"/>
      <c r="AD738" s="690"/>
      <c r="AE738" s="690"/>
    </row>
    <row r="739" spans="1:31" ht="15.75" customHeight="1">
      <c r="A739" s="690"/>
      <c r="B739" s="690"/>
      <c r="C739" s="690"/>
      <c r="D739" s="690"/>
      <c r="E739" s="690"/>
      <c r="F739" s="690"/>
      <c r="G739" s="690"/>
      <c r="H739" s="690"/>
      <c r="I739" s="690"/>
      <c r="J739" s="690"/>
      <c r="K739" s="690"/>
      <c r="L739" s="690"/>
      <c r="M739" s="690"/>
      <c r="N739" s="690"/>
      <c r="O739" s="690"/>
      <c r="P739" s="690"/>
      <c r="Q739" s="690"/>
      <c r="R739" s="690"/>
      <c r="S739" s="690"/>
      <c r="T739" s="690"/>
      <c r="U739" s="690"/>
      <c r="V739" s="690"/>
      <c r="W739" s="690"/>
      <c r="X739" s="690"/>
      <c r="Y739" s="690"/>
      <c r="Z739" s="690"/>
      <c r="AA739" s="690"/>
      <c r="AB739" s="690"/>
      <c r="AC739" s="690"/>
      <c r="AD739" s="690"/>
      <c r="AE739" s="690"/>
    </row>
    <row r="740" spans="1:31" ht="15.75" customHeight="1">
      <c r="A740" s="690"/>
      <c r="B740" s="690"/>
      <c r="C740" s="690"/>
      <c r="D740" s="690"/>
      <c r="E740" s="690"/>
      <c r="F740" s="690"/>
      <c r="G740" s="690"/>
      <c r="H740" s="690"/>
      <c r="I740" s="690"/>
      <c r="J740" s="690"/>
      <c r="K740" s="690"/>
      <c r="L740" s="690"/>
      <c r="M740" s="690"/>
      <c r="N740" s="690"/>
      <c r="O740" s="690"/>
      <c r="P740" s="690"/>
      <c r="Q740" s="690"/>
      <c r="R740" s="690"/>
      <c r="S740" s="690"/>
      <c r="T740" s="690"/>
      <c r="U740" s="690"/>
      <c r="V740" s="690"/>
      <c r="W740" s="690"/>
      <c r="X740" s="690"/>
      <c r="Y740" s="690"/>
      <c r="Z740" s="690"/>
      <c r="AA740" s="690"/>
      <c r="AB740" s="690"/>
      <c r="AC740" s="690"/>
      <c r="AD740" s="690"/>
      <c r="AE740" s="690"/>
    </row>
    <row r="741" spans="1:31" ht="15.75" customHeight="1">
      <c r="A741" s="690"/>
      <c r="B741" s="690"/>
      <c r="C741" s="690"/>
      <c r="D741" s="690"/>
      <c r="E741" s="690"/>
      <c r="F741" s="690"/>
      <c r="G741" s="690"/>
      <c r="H741" s="690"/>
      <c r="I741" s="690"/>
      <c r="J741" s="690"/>
      <c r="K741" s="690"/>
      <c r="L741" s="690"/>
      <c r="M741" s="690"/>
      <c r="N741" s="690"/>
      <c r="O741" s="690"/>
      <c r="P741" s="690"/>
      <c r="Q741" s="690"/>
      <c r="R741" s="690"/>
      <c r="S741" s="690"/>
      <c r="T741" s="690"/>
      <c r="U741" s="690"/>
      <c r="V741" s="690"/>
      <c r="W741" s="690"/>
      <c r="X741" s="690"/>
      <c r="Y741" s="690"/>
      <c r="Z741" s="690"/>
      <c r="AA741" s="690"/>
      <c r="AB741" s="690"/>
      <c r="AC741" s="690"/>
      <c r="AD741" s="690"/>
      <c r="AE741" s="690"/>
    </row>
    <row r="742" spans="1:31" ht="15.75" customHeight="1">
      <c r="A742" s="690"/>
      <c r="B742" s="690"/>
      <c r="C742" s="690"/>
      <c r="D742" s="690"/>
      <c r="E742" s="690"/>
      <c r="F742" s="690"/>
      <c r="G742" s="690"/>
      <c r="H742" s="690"/>
      <c r="I742" s="690"/>
      <c r="J742" s="690"/>
      <c r="K742" s="690"/>
      <c r="L742" s="690"/>
      <c r="M742" s="690"/>
      <c r="N742" s="690"/>
      <c r="O742" s="690"/>
      <c r="P742" s="690"/>
      <c r="Q742" s="690"/>
      <c r="R742" s="690"/>
      <c r="S742" s="690"/>
      <c r="T742" s="690"/>
      <c r="U742" s="690"/>
      <c r="V742" s="690"/>
      <c r="W742" s="690"/>
      <c r="X742" s="690"/>
      <c r="Y742" s="690"/>
      <c r="Z742" s="690"/>
      <c r="AA742" s="690"/>
      <c r="AB742" s="690"/>
      <c r="AC742" s="690"/>
      <c r="AD742" s="690"/>
      <c r="AE742" s="690"/>
    </row>
    <row r="743" spans="1:31" ht="15.75" customHeight="1">
      <c r="A743" s="690"/>
      <c r="B743" s="690"/>
      <c r="C743" s="690"/>
      <c r="D743" s="690"/>
      <c r="E743" s="690"/>
      <c r="F743" s="690"/>
      <c r="G743" s="690"/>
      <c r="H743" s="690"/>
      <c r="I743" s="690"/>
      <c r="J743" s="690"/>
      <c r="K743" s="690"/>
      <c r="L743" s="690"/>
      <c r="M743" s="690"/>
      <c r="N743" s="690"/>
      <c r="O743" s="690"/>
      <c r="P743" s="690"/>
      <c r="Q743" s="690"/>
      <c r="R743" s="690"/>
      <c r="S743" s="690"/>
      <c r="T743" s="690"/>
      <c r="U743" s="690"/>
      <c r="V743" s="690"/>
      <c r="W743" s="690"/>
      <c r="X743" s="690"/>
      <c r="Y743" s="690"/>
      <c r="Z743" s="690"/>
      <c r="AA743" s="690"/>
      <c r="AB743" s="690"/>
      <c r="AC743" s="690"/>
      <c r="AD743" s="690"/>
      <c r="AE743" s="690"/>
    </row>
    <row r="744" spans="1:31" ht="15.75" customHeight="1">
      <c r="A744" s="690"/>
      <c r="B744" s="690"/>
      <c r="C744" s="690"/>
      <c r="D744" s="690"/>
      <c r="E744" s="690"/>
      <c r="F744" s="690"/>
      <c r="G744" s="690"/>
      <c r="H744" s="690"/>
      <c r="I744" s="690"/>
      <c r="J744" s="690"/>
      <c r="K744" s="690"/>
      <c r="L744" s="690"/>
      <c r="M744" s="690"/>
      <c r="N744" s="690"/>
      <c r="O744" s="690"/>
      <c r="P744" s="690"/>
      <c r="Q744" s="690"/>
      <c r="R744" s="690"/>
      <c r="S744" s="690"/>
      <c r="T744" s="690"/>
      <c r="U744" s="690"/>
      <c r="V744" s="690"/>
      <c r="W744" s="690"/>
      <c r="X744" s="690"/>
      <c r="Y744" s="690"/>
      <c r="Z744" s="690"/>
      <c r="AA744" s="690"/>
      <c r="AB744" s="690"/>
      <c r="AC744" s="690"/>
      <c r="AD744" s="690"/>
      <c r="AE744" s="690"/>
    </row>
    <row r="745" spans="1:31" ht="15.75" customHeight="1">
      <c r="A745" s="690"/>
      <c r="B745" s="690"/>
      <c r="C745" s="690"/>
      <c r="D745" s="690"/>
      <c r="E745" s="690"/>
      <c r="F745" s="690"/>
      <c r="G745" s="690"/>
      <c r="H745" s="690"/>
      <c r="I745" s="690"/>
      <c r="J745" s="690"/>
      <c r="K745" s="690"/>
      <c r="L745" s="690"/>
      <c r="M745" s="690"/>
      <c r="N745" s="690"/>
      <c r="O745" s="690"/>
      <c r="P745" s="690"/>
      <c r="Q745" s="690"/>
      <c r="R745" s="690"/>
      <c r="S745" s="690"/>
      <c r="T745" s="690"/>
      <c r="U745" s="690"/>
      <c r="V745" s="690"/>
      <c r="W745" s="690"/>
      <c r="X745" s="690"/>
      <c r="Y745" s="690"/>
      <c r="Z745" s="690"/>
      <c r="AA745" s="690"/>
      <c r="AB745" s="690"/>
      <c r="AC745" s="690"/>
      <c r="AD745" s="690"/>
      <c r="AE745" s="690"/>
    </row>
    <row r="746" spans="1:31" ht="15.75" customHeight="1">
      <c r="A746" s="690"/>
      <c r="B746" s="690"/>
      <c r="C746" s="690"/>
      <c r="D746" s="690"/>
      <c r="E746" s="690"/>
      <c r="F746" s="690"/>
      <c r="G746" s="690"/>
      <c r="H746" s="690"/>
      <c r="I746" s="690"/>
      <c r="J746" s="690"/>
      <c r="K746" s="690"/>
      <c r="L746" s="690"/>
      <c r="M746" s="690"/>
      <c r="N746" s="690"/>
      <c r="O746" s="690"/>
      <c r="P746" s="690"/>
      <c r="Q746" s="690"/>
      <c r="R746" s="690"/>
      <c r="S746" s="690"/>
      <c r="T746" s="690"/>
      <c r="U746" s="690"/>
      <c r="V746" s="690"/>
      <c r="W746" s="690"/>
      <c r="X746" s="690"/>
      <c r="Y746" s="690"/>
      <c r="Z746" s="690"/>
      <c r="AA746" s="690"/>
      <c r="AB746" s="690"/>
      <c r="AC746" s="690"/>
      <c r="AD746" s="690"/>
      <c r="AE746" s="690"/>
    </row>
    <row r="747" spans="1:31" ht="15.75" customHeight="1">
      <c r="A747" s="690"/>
      <c r="B747" s="690"/>
      <c r="C747" s="690"/>
      <c r="D747" s="690"/>
      <c r="E747" s="690"/>
      <c r="F747" s="690"/>
      <c r="G747" s="690"/>
      <c r="H747" s="690"/>
      <c r="I747" s="690"/>
      <c r="J747" s="690"/>
      <c r="K747" s="690"/>
      <c r="L747" s="690"/>
      <c r="M747" s="690"/>
      <c r="N747" s="690"/>
      <c r="O747" s="690"/>
      <c r="P747" s="690"/>
      <c r="Q747" s="690"/>
      <c r="R747" s="690"/>
      <c r="S747" s="690"/>
      <c r="T747" s="690"/>
      <c r="U747" s="690"/>
      <c r="V747" s="690"/>
      <c r="W747" s="690"/>
      <c r="X747" s="690"/>
      <c r="Y747" s="690"/>
      <c r="Z747" s="690"/>
      <c r="AA747" s="690"/>
      <c r="AB747" s="690"/>
      <c r="AC747" s="690"/>
      <c r="AD747" s="690"/>
      <c r="AE747" s="690"/>
    </row>
    <row r="748" spans="1:31" ht="15.75" customHeight="1">
      <c r="A748" s="690"/>
      <c r="B748" s="690"/>
      <c r="C748" s="690"/>
      <c r="D748" s="690"/>
      <c r="E748" s="690"/>
      <c r="F748" s="690"/>
      <c r="G748" s="690"/>
      <c r="H748" s="690"/>
      <c r="I748" s="690"/>
      <c r="J748" s="690"/>
      <c r="K748" s="690"/>
      <c r="L748" s="690"/>
      <c r="M748" s="690"/>
      <c r="N748" s="690"/>
      <c r="O748" s="690"/>
      <c r="P748" s="690"/>
      <c r="Q748" s="690"/>
      <c r="R748" s="690"/>
      <c r="S748" s="690"/>
      <c r="T748" s="690"/>
      <c r="U748" s="690"/>
      <c r="V748" s="690"/>
      <c r="W748" s="690"/>
      <c r="X748" s="690"/>
      <c r="Y748" s="690"/>
      <c r="Z748" s="690"/>
      <c r="AA748" s="690"/>
      <c r="AB748" s="690"/>
      <c r="AC748" s="690"/>
      <c r="AD748" s="690"/>
      <c r="AE748" s="690"/>
    </row>
    <row r="749" spans="1:31" ht="15.75" customHeight="1">
      <c r="A749" s="690"/>
      <c r="B749" s="690"/>
      <c r="C749" s="690"/>
      <c r="D749" s="690"/>
      <c r="E749" s="690"/>
      <c r="F749" s="690"/>
      <c r="G749" s="690"/>
      <c r="H749" s="690"/>
      <c r="I749" s="690"/>
      <c r="J749" s="690"/>
      <c r="K749" s="690"/>
      <c r="L749" s="690"/>
      <c r="M749" s="690"/>
      <c r="N749" s="690"/>
      <c r="O749" s="690"/>
      <c r="P749" s="690"/>
      <c r="Q749" s="690"/>
      <c r="R749" s="690"/>
      <c r="S749" s="690"/>
      <c r="T749" s="690"/>
      <c r="U749" s="690"/>
      <c r="V749" s="690"/>
      <c r="W749" s="690"/>
      <c r="X749" s="690"/>
      <c r="Y749" s="690"/>
      <c r="Z749" s="690"/>
      <c r="AA749" s="690"/>
      <c r="AB749" s="690"/>
      <c r="AC749" s="690"/>
      <c r="AD749" s="690"/>
      <c r="AE749" s="690"/>
    </row>
    <row r="750" spans="1:31" ht="15.75" customHeight="1">
      <c r="A750" s="690"/>
      <c r="B750" s="690"/>
      <c r="C750" s="690"/>
      <c r="D750" s="690"/>
      <c r="E750" s="690"/>
      <c r="F750" s="690"/>
      <c r="G750" s="690"/>
      <c r="H750" s="690"/>
      <c r="I750" s="690"/>
      <c r="J750" s="690"/>
      <c r="K750" s="690"/>
      <c r="L750" s="690"/>
      <c r="M750" s="690"/>
      <c r="N750" s="690"/>
      <c r="O750" s="690"/>
      <c r="P750" s="690"/>
      <c r="Q750" s="690"/>
      <c r="R750" s="690"/>
      <c r="S750" s="690"/>
      <c r="T750" s="690"/>
      <c r="U750" s="690"/>
      <c r="V750" s="690"/>
      <c r="W750" s="690"/>
      <c r="X750" s="690"/>
      <c r="Y750" s="690"/>
      <c r="Z750" s="690"/>
      <c r="AA750" s="690"/>
      <c r="AB750" s="690"/>
      <c r="AC750" s="690"/>
      <c r="AD750" s="690"/>
      <c r="AE750" s="690"/>
    </row>
    <row r="751" spans="1:31" ht="15.75" customHeight="1">
      <c r="A751" s="690"/>
      <c r="B751" s="690"/>
      <c r="C751" s="690"/>
      <c r="D751" s="690"/>
      <c r="E751" s="690"/>
      <c r="F751" s="690"/>
      <c r="G751" s="690"/>
      <c r="H751" s="690"/>
      <c r="I751" s="690"/>
      <c r="J751" s="690"/>
      <c r="K751" s="690"/>
      <c r="L751" s="690"/>
      <c r="M751" s="690"/>
      <c r="N751" s="690"/>
      <c r="O751" s="690"/>
      <c r="P751" s="690"/>
      <c r="Q751" s="690"/>
      <c r="R751" s="690"/>
      <c r="S751" s="690"/>
      <c r="T751" s="690"/>
      <c r="U751" s="690"/>
      <c r="V751" s="690"/>
      <c r="W751" s="690"/>
      <c r="X751" s="690"/>
      <c r="Y751" s="690"/>
      <c r="Z751" s="690"/>
      <c r="AA751" s="690"/>
      <c r="AB751" s="690"/>
      <c r="AC751" s="690"/>
      <c r="AD751" s="690"/>
      <c r="AE751" s="690"/>
    </row>
    <row r="752" spans="1:31" ht="15.75" customHeight="1">
      <c r="A752" s="690"/>
      <c r="B752" s="690"/>
      <c r="C752" s="690"/>
      <c r="D752" s="690"/>
      <c r="E752" s="690"/>
      <c r="F752" s="690"/>
      <c r="G752" s="690"/>
      <c r="H752" s="690"/>
      <c r="I752" s="690"/>
      <c r="J752" s="690"/>
      <c r="K752" s="690"/>
      <c r="L752" s="690"/>
      <c r="M752" s="690"/>
      <c r="N752" s="690"/>
      <c r="O752" s="690"/>
      <c r="P752" s="690"/>
      <c r="Q752" s="690"/>
      <c r="R752" s="690"/>
      <c r="S752" s="690"/>
      <c r="T752" s="690"/>
      <c r="U752" s="690"/>
      <c r="V752" s="690"/>
      <c r="W752" s="690"/>
      <c r="X752" s="690"/>
      <c r="Y752" s="690"/>
      <c r="Z752" s="690"/>
      <c r="AA752" s="690"/>
      <c r="AB752" s="690"/>
      <c r="AC752" s="690"/>
      <c r="AD752" s="690"/>
      <c r="AE752" s="690"/>
    </row>
    <row r="753" spans="1:31" ht="15.75" customHeight="1">
      <c r="A753" s="690"/>
      <c r="B753" s="690"/>
      <c r="C753" s="690"/>
      <c r="D753" s="690"/>
      <c r="E753" s="690"/>
      <c r="F753" s="690"/>
      <c r="G753" s="690"/>
      <c r="H753" s="690"/>
      <c r="I753" s="690"/>
      <c r="J753" s="690"/>
      <c r="K753" s="690"/>
      <c r="L753" s="690"/>
      <c r="M753" s="690"/>
      <c r="N753" s="690"/>
      <c r="O753" s="690"/>
      <c r="P753" s="690"/>
      <c r="Q753" s="690"/>
      <c r="R753" s="690"/>
      <c r="S753" s="690"/>
      <c r="T753" s="690"/>
      <c r="U753" s="690"/>
      <c r="V753" s="690"/>
      <c r="W753" s="690"/>
      <c r="X753" s="690"/>
      <c r="Y753" s="690"/>
      <c r="Z753" s="690"/>
      <c r="AA753" s="690"/>
      <c r="AB753" s="690"/>
      <c r="AC753" s="690"/>
      <c r="AD753" s="690"/>
      <c r="AE753" s="690"/>
    </row>
    <row r="754" spans="1:31" ht="15.75" customHeight="1">
      <c r="A754" s="690"/>
      <c r="B754" s="690"/>
      <c r="C754" s="690"/>
      <c r="D754" s="690"/>
      <c r="E754" s="690"/>
      <c r="F754" s="690"/>
      <c r="G754" s="690"/>
      <c r="H754" s="690"/>
      <c r="I754" s="690"/>
      <c r="J754" s="690"/>
      <c r="K754" s="690"/>
      <c r="L754" s="690"/>
      <c r="M754" s="690"/>
      <c r="N754" s="690"/>
      <c r="O754" s="690"/>
      <c r="P754" s="690"/>
      <c r="Q754" s="690"/>
      <c r="R754" s="690"/>
      <c r="S754" s="690"/>
      <c r="T754" s="690"/>
      <c r="U754" s="690"/>
      <c r="V754" s="690"/>
      <c r="W754" s="690"/>
      <c r="X754" s="690"/>
      <c r="Y754" s="690"/>
      <c r="Z754" s="690"/>
      <c r="AA754" s="690"/>
      <c r="AB754" s="690"/>
      <c r="AC754" s="690"/>
      <c r="AD754" s="690"/>
      <c r="AE754" s="690"/>
    </row>
    <row r="755" spans="1:31" ht="15.75" customHeight="1">
      <c r="A755" s="690"/>
      <c r="B755" s="690"/>
      <c r="C755" s="690"/>
      <c r="D755" s="690"/>
      <c r="E755" s="690"/>
      <c r="F755" s="690"/>
      <c r="G755" s="690"/>
      <c r="H755" s="690"/>
      <c r="I755" s="690"/>
      <c r="J755" s="690"/>
      <c r="K755" s="690"/>
      <c r="L755" s="690"/>
      <c r="M755" s="690"/>
      <c r="N755" s="690"/>
      <c r="O755" s="690"/>
      <c r="P755" s="690"/>
      <c r="Q755" s="690"/>
      <c r="R755" s="690"/>
      <c r="S755" s="690"/>
      <c r="T755" s="690"/>
      <c r="U755" s="690"/>
      <c r="V755" s="690"/>
      <c r="W755" s="690"/>
      <c r="X755" s="690"/>
      <c r="Y755" s="690"/>
      <c r="Z755" s="690"/>
      <c r="AA755" s="690"/>
      <c r="AB755" s="690"/>
      <c r="AC755" s="690"/>
      <c r="AD755" s="690"/>
      <c r="AE755" s="690"/>
    </row>
    <row r="756" spans="1:31" ht="15.75" customHeight="1">
      <c r="A756" s="690"/>
      <c r="B756" s="690"/>
      <c r="C756" s="690"/>
      <c r="D756" s="690"/>
      <c r="E756" s="690"/>
      <c r="F756" s="690"/>
      <c r="G756" s="690"/>
      <c r="H756" s="690"/>
      <c r="I756" s="690"/>
      <c r="J756" s="690"/>
      <c r="K756" s="690"/>
      <c r="L756" s="690"/>
      <c r="M756" s="690"/>
      <c r="N756" s="690"/>
      <c r="O756" s="690"/>
      <c r="P756" s="690"/>
      <c r="Q756" s="690"/>
      <c r="R756" s="690"/>
      <c r="S756" s="690"/>
      <c r="T756" s="690"/>
      <c r="U756" s="690"/>
      <c r="V756" s="690"/>
      <c r="W756" s="690"/>
      <c r="X756" s="690"/>
      <c r="Y756" s="690"/>
      <c r="Z756" s="690"/>
      <c r="AA756" s="690"/>
      <c r="AB756" s="690"/>
      <c r="AC756" s="690"/>
      <c r="AD756" s="690"/>
      <c r="AE756" s="690"/>
    </row>
    <row r="757" spans="1:31" ht="15.75" customHeight="1">
      <c r="A757" s="690"/>
      <c r="B757" s="690"/>
      <c r="C757" s="690"/>
      <c r="D757" s="690"/>
      <c r="E757" s="690"/>
      <c r="F757" s="690"/>
      <c r="G757" s="690"/>
      <c r="H757" s="690"/>
      <c r="I757" s="690"/>
      <c r="J757" s="690"/>
      <c r="K757" s="690"/>
      <c r="L757" s="690"/>
      <c r="M757" s="690"/>
      <c r="N757" s="690"/>
      <c r="O757" s="690"/>
      <c r="P757" s="690"/>
      <c r="Q757" s="690"/>
      <c r="R757" s="690"/>
      <c r="S757" s="690"/>
      <c r="T757" s="690"/>
      <c r="U757" s="690"/>
      <c r="V757" s="690"/>
      <c r="W757" s="690"/>
      <c r="X757" s="690"/>
      <c r="Y757" s="690"/>
      <c r="Z757" s="690"/>
      <c r="AA757" s="690"/>
      <c r="AB757" s="690"/>
      <c r="AC757" s="690"/>
      <c r="AD757" s="690"/>
      <c r="AE757" s="690"/>
    </row>
    <row r="758" spans="1:31" ht="15.75" customHeight="1">
      <c r="A758" s="690"/>
      <c r="B758" s="690"/>
      <c r="C758" s="690"/>
      <c r="D758" s="690"/>
      <c r="E758" s="690"/>
      <c r="F758" s="690"/>
      <c r="G758" s="690"/>
      <c r="H758" s="690"/>
      <c r="I758" s="690"/>
      <c r="J758" s="690"/>
      <c r="K758" s="690"/>
      <c r="L758" s="690"/>
      <c r="M758" s="690"/>
      <c r="N758" s="690"/>
      <c r="O758" s="690"/>
      <c r="P758" s="690"/>
      <c r="Q758" s="690"/>
      <c r="R758" s="690"/>
      <c r="S758" s="690"/>
      <c r="T758" s="690"/>
      <c r="U758" s="690"/>
      <c r="V758" s="690"/>
      <c r="W758" s="690"/>
      <c r="X758" s="690"/>
      <c r="Y758" s="690"/>
      <c r="Z758" s="690"/>
      <c r="AA758" s="690"/>
      <c r="AB758" s="690"/>
      <c r="AC758" s="690"/>
      <c r="AD758" s="690"/>
      <c r="AE758" s="690"/>
    </row>
    <row r="759" spans="1:31" ht="15.75" customHeight="1">
      <c r="A759" s="690"/>
      <c r="B759" s="690"/>
      <c r="C759" s="690"/>
      <c r="D759" s="690"/>
      <c r="E759" s="690"/>
      <c r="F759" s="690"/>
      <c r="G759" s="690"/>
      <c r="H759" s="690"/>
      <c r="I759" s="690"/>
      <c r="J759" s="690"/>
      <c r="K759" s="690"/>
      <c r="L759" s="690"/>
      <c r="M759" s="690"/>
      <c r="N759" s="690"/>
      <c r="O759" s="690"/>
      <c r="P759" s="690"/>
      <c r="Q759" s="690"/>
      <c r="R759" s="690"/>
      <c r="S759" s="690"/>
      <c r="T759" s="690"/>
      <c r="U759" s="690"/>
      <c r="V759" s="690"/>
      <c r="W759" s="690"/>
      <c r="X759" s="690"/>
      <c r="Y759" s="690"/>
      <c r="Z759" s="690"/>
      <c r="AA759" s="690"/>
      <c r="AB759" s="690"/>
      <c r="AC759" s="690"/>
      <c r="AD759" s="690"/>
      <c r="AE759" s="690"/>
    </row>
    <row r="760" spans="1:31" ht="15.75" customHeight="1">
      <c r="A760" s="690"/>
      <c r="B760" s="690"/>
      <c r="C760" s="690"/>
      <c r="D760" s="690"/>
      <c r="E760" s="690"/>
      <c r="F760" s="690"/>
      <c r="G760" s="690"/>
      <c r="H760" s="690"/>
      <c r="I760" s="690"/>
      <c r="J760" s="690"/>
      <c r="K760" s="690"/>
      <c r="L760" s="690"/>
      <c r="M760" s="690"/>
      <c r="N760" s="690"/>
      <c r="O760" s="690"/>
      <c r="P760" s="690"/>
      <c r="Q760" s="690"/>
      <c r="R760" s="690"/>
      <c r="S760" s="690"/>
      <c r="T760" s="690"/>
      <c r="U760" s="690"/>
      <c r="V760" s="690"/>
      <c r="W760" s="690"/>
      <c r="X760" s="690"/>
      <c r="Y760" s="690"/>
      <c r="Z760" s="690"/>
      <c r="AA760" s="690"/>
      <c r="AB760" s="690"/>
      <c r="AC760" s="690"/>
      <c r="AD760" s="690"/>
      <c r="AE760" s="690"/>
    </row>
    <row r="761" spans="1:31" ht="15.75" customHeight="1">
      <c r="A761" s="690"/>
      <c r="B761" s="690"/>
      <c r="C761" s="690"/>
      <c r="D761" s="690"/>
      <c r="E761" s="690"/>
      <c r="F761" s="690"/>
      <c r="G761" s="690"/>
      <c r="H761" s="690"/>
      <c r="I761" s="690"/>
      <c r="J761" s="690"/>
      <c r="K761" s="690"/>
      <c r="L761" s="690"/>
      <c r="M761" s="690"/>
      <c r="N761" s="690"/>
      <c r="O761" s="690"/>
      <c r="P761" s="690"/>
      <c r="Q761" s="690"/>
      <c r="R761" s="690"/>
      <c r="S761" s="690"/>
      <c r="T761" s="690"/>
      <c r="U761" s="690"/>
      <c r="V761" s="690"/>
      <c r="W761" s="690"/>
      <c r="X761" s="690"/>
      <c r="Y761" s="690"/>
      <c r="Z761" s="690"/>
      <c r="AA761" s="690"/>
      <c r="AB761" s="690"/>
      <c r="AC761" s="690"/>
      <c r="AD761" s="690"/>
      <c r="AE761" s="690"/>
    </row>
    <row r="762" spans="1:31" ht="15.75" customHeight="1">
      <c r="A762" s="690"/>
      <c r="B762" s="690"/>
      <c r="C762" s="690"/>
      <c r="D762" s="690"/>
      <c r="E762" s="690"/>
      <c r="F762" s="690"/>
      <c r="G762" s="690"/>
      <c r="H762" s="690"/>
      <c r="I762" s="690"/>
      <c r="J762" s="690"/>
      <c r="K762" s="690"/>
      <c r="L762" s="690"/>
      <c r="M762" s="690"/>
      <c r="N762" s="690"/>
      <c r="O762" s="690"/>
      <c r="P762" s="690"/>
      <c r="Q762" s="690"/>
      <c r="R762" s="690"/>
      <c r="S762" s="690"/>
      <c r="T762" s="690"/>
      <c r="U762" s="690"/>
      <c r="V762" s="690"/>
      <c r="W762" s="690"/>
      <c r="X762" s="690"/>
      <c r="Y762" s="690"/>
      <c r="Z762" s="690"/>
      <c r="AA762" s="690"/>
      <c r="AB762" s="690"/>
      <c r="AC762" s="690"/>
      <c r="AD762" s="690"/>
      <c r="AE762" s="690"/>
    </row>
    <row r="763" spans="1:31" ht="15.75" customHeight="1">
      <c r="A763" s="690"/>
      <c r="B763" s="690"/>
      <c r="C763" s="690"/>
      <c r="D763" s="690"/>
      <c r="E763" s="690"/>
      <c r="F763" s="690"/>
      <c r="G763" s="690"/>
      <c r="H763" s="690"/>
      <c r="I763" s="690"/>
      <c r="J763" s="690"/>
      <c r="K763" s="690"/>
      <c r="L763" s="690"/>
      <c r="M763" s="690"/>
      <c r="N763" s="690"/>
      <c r="O763" s="690"/>
      <c r="P763" s="690"/>
      <c r="Q763" s="690"/>
      <c r="R763" s="690"/>
      <c r="S763" s="690"/>
      <c r="T763" s="690"/>
      <c r="U763" s="690"/>
      <c r="V763" s="690"/>
      <c r="W763" s="690"/>
      <c r="X763" s="690"/>
      <c r="Y763" s="690"/>
      <c r="Z763" s="690"/>
      <c r="AA763" s="690"/>
      <c r="AB763" s="690"/>
      <c r="AC763" s="690"/>
      <c r="AD763" s="690"/>
      <c r="AE763" s="690"/>
    </row>
    <row r="764" spans="1:31" ht="15.75" customHeight="1">
      <c r="A764" s="690"/>
      <c r="B764" s="690"/>
      <c r="C764" s="690"/>
      <c r="D764" s="690"/>
      <c r="E764" s="690"/>
      <c r="F764" s="690"/>
      <c r="G764" s="690"/>
      <c r="H764" s="690"/>
      <c r="I764" s="690"/>
      <c r="J764" s="690"/>
      <c r="K764" s="690"/>
      <c r="L764" s="690"/>
      <c r="M764" s="690"/>
      <c r="N764" s="690"/>
      <c r="O764" s="690"/>
      <c r="P764" s="690"/>
      <c r="Q764" s="690"/>
      <c r="R764" s="690"/>
      <c r="S764" s="690"/>
      <c r="T764" s="690"/>
      <c r="U764" s="690"/>
      <c r="V764" s="690"/>
      <c r="W764" s="690"/>
      <c r="X764" s="690"/>
      <c r="Y764" s="690"/>
      <c r="Z764" s="690"/>
      <c r="AA764" s="690"/>
      <c r="AB764" s="690"/>
      <c r="AC764" s="690"/>
      <c r="AD764" s="690"/>
      <c r="AE764" s="690"/>
    </row>
    <row r="765" spans="1:31" ht="15.75" customHeight="1">
      <c r="A765" s="690"/>
      <c r="B765" s="690"/>
      <c r="C765" s="690"/>
      <c r="D765" s="690"/>
      <c r="E765" s="690"/>
      <c r="F765" s="690"/>
      <c r="G765" s="690"/>
      <c r="H765" s="690"/>
      <c r="I765" s="690"/>
      <c r="J765" s="690"/>
      <c r="K765" s="690"/>
      <c r="L765" s="690"/>
      <c r="M765" s="690"/>
      <c r="N765" s="690"/>
      <c r="O765" s="690"/>
      <c r="P765" s="690"/>
      <c r="Q765" s="690"/>
      <c r="R765" s="690"/>
      <c r="S765" s="690"/>
      <c r="T765" s="690"/>
      <c r="U765" s="690"/>
      <c r="V765" s="690"/>
      <c r="W765" s="690"/>
      <c r="X765" s="690"/>
      <c r="Y765" s="690"/>
      <c r="Z765" s="690"/>
      <c r="AA765" s="690"/>
      <c r="AB765" s="690"/>
      <c r="AC765" s="690"/>
      <c r="AD765" s="690"/>
      <c r="AE765" s="690"/>
    </row>
    <row r="766" spans="1:31" ht="15.75" customHeight="1">
      <c r="A766" s="690"/>
      <c r="B766" s="690"/>
      <c r="C766" s="690"/>
      <c r="D766" s="690"/>
      <c r="E766" s="690"/>
      <c r="F766" s="690"/>
      <c r="G766" s="690"/>
      <c r="H766" s="690"/>
      <c r="I766" s="690"/>
      <c r="J766" s="690"/>
      <c r="K766" s="690"/>
      <c r="L766" s="690"/>
      <c r="M766" s="690"/>
      <c r="N766" s="690"/>
      <c r="O766" s="690"/>
      <c r="P766" s="690"/>
      <c r="Q766" s="690"/>
      <c r="R766" s="690"/>
      <c r="S766" s="690"/>
      <c r="T766" s="690"/>
      <c r="U766" s="690"/>
      <c r="V766" s="690"/>
      <c r="W766" s="690"/>
      <c r="X766" s="690"/>
      <c r="Y766" s="690"/>
      <c r="Z766" s="690"/>
      <c r="AA766" s="690"/>
      <c r="AB766" s="690"/>
      <c r="AC766" s="690"/>
      <c r="AD766" s="690"/>
      <c r="AE766" s="690"/>
    </row>
    <row r="767" spans="1:31" ht="15.75" customHeight="1">
      <c r="A767" s="690"/>
      <c r="B767" s="690"/>
      <c r="C767" s="690"/>
      <c r="D767" s="690"/>
      <c r="E767" s="690"/>
      <c r="F767" s="690"/>
      <c r="G767" s="690"/>
      <c r="H767" s="690"/>
      <c r="I767" s="690"/>
      <c r="J767" s="690"/>
      <c r="K767" s="690"/>
      <c r="L767" s="690"/>
      <c r="M767" s="690"/>
      <c r="N767" s="690"/>
      <c r="O767" s="690"/>
      <c r="P767" s="690"/>
      <c r="Q767" s="690"/>
      <c r="R767" s="690"/>
      <c r="S767" s="690"/>
      <c r="T767" s="690"/>
      <c r="U767" s="690"/>
      <c r="V767" s="690"/>
      <c r="W767" s="690"/>
      <c r="X767" s="690"/>
      <c r="Y767" s="690"/>
      <c r="Z767" s="690"/>
      <c r="AA767" s="690"/>
      <c r="AB767" s="690"/>
      <c r="AC767" s="690"/>
      <c r="AD767" s="690"/>
      <c r="AE767" s="690"/>
    </row>
    <row r="768" spans="1:31" ht="15.75" customHeight="1">
      <c r="A768" s="690"/>
      <c r="B768" s="690"/>
      <c r="C768" s="690"/>
      <c r="D768" s="690"/>
      <c r="E768" s="690"/>
      <c r="F768" s="690"/>
      <c r="G768" s="690"/>
      <c r="H768" s="690"/>
      <c r="I768" s="690"/>
      <c r="J768" s="690"/>
      <c r="K768" s="690"/>
      <c r="L768" s="690"/>
      <c r="M768" s="690"/>
      <c r="N768" s="690"/>
      <c r="O768" s="690"/>
      <c r="P768" s="690"/>
      <c r="Q768" s="690"/>
      <c r="R768" s="690"/>
      <c r="S768" s="690"/>
      <c r="T768" s="690"/>
      <c r="U768" s="690"/>
      <c r="V768" s="690"/>
      <c r="W768" s="690"/>
      <c r="X768" s="690"/>
      <c r="Y768" s="690"/>
      <c r="Z768" s="690"/>
      <c r="AA768" s="690"/>
      <c r="AB768" s="690"/>
      <c r="AC768" s="690"/>
      <c r="AD768" s="690"/>
      <c r="AE768" s="690"/>
    </row>
    <row r="769" spans="1:31" ht="15.75" customHeight="1">
      <c r="A769" s="690"/>
      <c r="B769" s="690"/>
      <c r="C769" s="690"/>
      <c r="D769" s="690"/>
      <c r="E769" s="690"/>
      <c r="F769" s="690"/>
      <c r="G769" s="690"/>
      <c r="H769" s="690"/>
      <c r="I769" s="690"/>
      <c r="J769" s="690"/>
      <c r="K769" s="690"/>
      <c r="L769" s="690"/>
      <c r="M769" s="690"/>
      <c r="N769" s="690"/>
      <c r="O769" s="690"/>
      <c r="P769" s="690"/>
      <c r="Q769" s="690"/>
      <c r="R769" s="690"/>
      <c r="S769" s="690"/>
      <c r="T769" s="690"/>
      <c r="U769" s="690"/>
      <c r="V769" s="690"/>
      <c r="W769" s="690"/>
      <c r="X769" s="690"/>
      <c r="Y769" s="690"/>
      <c r="Z769" s="690"/>
      <c r="AA769" s="690"/>
      <c r="AB769" s="690"/>
      <c r="AC769" s="690"/>
      <c r="AD769" s="690"/>
      <c r="AE769" s="690"/>
    </row>
    <row r="770" spans="1:31" ht="15.75" customHeight="1">
      <c r="A770" s="690"/>
      <c r="B770" s="690"/>
      <c r="C770" s="690"/>
      <c r="D770" s="690"/>
      <c r="E770" s="690"/>
      <c r="F770" s="690"/>
      <c r="G770" s="690"/>
      <c r="H770" s="690"/>
      <c r="I770" s="690"/>
      <c r="J770" s="690"/>
      <c r="K770" s="690"/>
      <c r="L770" s="690"/>
      <c r="M770" s="690"/>
      <c r="N770" s="690"/>
      <c r="O770" s="690"/>
      <c r="P770" s="690"/>
      <c r="Q770" s="690"/>
      <c r="R770" s="690"/>
      <c r="S770" s="690"/>
      <c r="T770" s="690"/>
      <c r="U770" s="690"/>
      <c r="V770" s="690"/>
      <c r="W770" s="690"/>
      <c r="X770" s="690"/>
      <c r="Y770" s="690"/>
      <c r="Z770" s="690"/>
      <c r="AA770" s="690"/>
      <c r="AB770" s="690"/>
      <c r="AC770" s="690"/>
      <c r="AD770" s="690"/>
      <c r="AE770" s="690"/>
    </row>
    <row r="771" spans="1:31" ht="15.75" customHeight="1">
      <c r="A771" s="690"/>
      <c r="B771" s="690"/>
      <c r="C771" s="690"/>
      <c r="D771" s="690"/>
      <c r="E771" s="690"/>
      <c r="F771" s="690"/>
      <c r="G771" s="690"/>
      <c r="H771" s="690"/>
      <c r="I771" s="690"/>
      <c r="J771" s="690"/>
      <c r="K771" s="690"/>
      <c r="L771" s="690"/>
      <c r="M771" s="690"/>
      <c r="N771" s="690"/>
      <c r="O771" s="690"/>
      <c r="P771" s="690"/>
      <c r="Q771" s="690"/>
      <c r="R771" s="690"/>
      <c r="S771" s="690"/>
      <c r="T771" s="690"/>
      <c r="U771" s="690"/>
      <c r="V771" s="690"/>
      <c r="W771" s="690"/>
      <c r="X771" s="690"/>
      <c r="Y771" s="690"/>
      <c r="Z771" s="690"/>
      <c r="AA771" s="690"/>
      <c r="AB771" s="690"/>
      <c r="AC771" s="690"/>
      <c r="AD771" s="690"/>
      <c r="AE771" s="690"/>
    </row>
    <row r="772" spans="1:31" ht="15.75" customHeight="1">
      <c r="A772" s="690"/>
      <c r="B772" s="690"/>
      <c r="C772" s="690"/>
      <c r="D772" s="690"/>
      <c r="E772" s="690"/>
      <c r="F772" s="690"/>
      <c r="G772" s="690"/>
      <c r="H772" s="690"/>
      <c r="I772" s="690"/>
      <c r="J772" s="690"/>
      <c r="K772" s="690"/>
      <c r="L772" s="690"/>
      <c r="M772" s="690"/>
      <c r="N772" s="690"/>
      <c r="O772" s="690"/>
      <c r="P772" s="690"/>
      <c r="Q772" s="690"/>
      <c r="R772" s="690"/>
      <c r="S772" s="690"/>
      <c r="T772" s="690"/>
      <c r="U772" s="690"/>
      <c r="V772" s="690"/>
      <c r="W772" s="690"/>
      <c r="X772" s="690"/>
      <c r="Y772" s="690"/>
      <c r="Z772" s="690"/>
      <c r="AA772" s="690"/>
      <c r="AB772" s="690"/>
      <c r="AC772" s="690"/>
      <c r="AD772" s="690"/>
      <c r="AE772" s="690"/>
    </row>
    <row r="773" spans="1:31" ht="15.75" customHeight="1">
      <c r="A773" s="690"/>
      <c r="B773" s="690"/>
      <c r="C773" s="690"/>
      <c r="D773" s="690"/>
      <c r="E773" s="690"/>
      <c r="F773" s="690"/>
      <c r="G773" s="690"/>
      <c r="H773" s="690"/>
      <c r="I773" s="690"/>
      <c r="J773" s="690"/>
      <c r="K773" s="690"/>
      <c r="L773" s="690"/>
      <c r="M773" s="690"/>
      <c r="N773" s="690"/>
      <c r="O773" s="690"/>
      <c r="P773" s="690"/>
      <c r="Q773" s="690"/>
      <c r="R773" s="690"/>
      <c r="S773" s="690"/>
      <c r="T773" s="690"/>
      <c r="U773" s="690"/>
      <c r="V773" s="690"/>
      <c r="W773" s="690"/>
      <c r="X773" s="690"/>
      <c r="Y773" s="690"/>
      <c r="Z773" s="690"/>
      <c r="AA773" s="690"/>
      <c r="AB773" s="690"/>
      <c r="AC773" s="690"/>
      <c r="AD773" s="690"/>
      <c r="AE773" s="690"/>
    </row>
    <row r="774" spans="1:31" ht="15.75" customHeight="1">
      <c r="A774" s="690"/>
      <c r="B774" s="690"/>
      <c r="C774" s="690"/>
      <c r="D774" s="690"/>
      <c r="E774" s="690"/>
      <c r="F774" s="690"/>
      <c r="G774" s="690"/>
      <c r="H774" s="690"/>
      <c r="I774" s="690"/>
      <c r="J774" s="690"/>
      <c r="K774" s="690"/>
      <c r="L774" s="690"/>
      <c r="M774" s="690"/>
      <c r="N774" s="690"/>
      <c r="O774" s="690"/>
      <c r="P774" s="690"/>
      <c r="Q774" s="690"/>
      <c r="R774" s="690"/>
      <c r="S774" s="690"/>
      <c r="T774" s="690"/>
      <c r="U774" s="690"/>
      <c r="V774" s="690"/>
      <c r="W774" s="690"/>
      <c r="X774" s="690"/>
      <c r="Y774" s="690"/>
      <c r="Z774" s="690"/>
      <c r="AA774" s="690"/>
      <c r="AB774" s="690"/>
      <c r="AC774" s="690"/>
      <c r="AD774" s="690"/>
      <c r="AE774" s="690"/>
    </row>
    <row r="775" spans="1:31" ht="15.75" customHeight="1">
      <c r="A775" s="690"/>
      <c r="B775" s="690"/>
      <c r="C775" s="690"/>
      <c r="D775" s="690"/>
      <c r="E775" s="690"/>
      <c r="F775" s="690"/>
      <c r="G775" s="690"/>
      <c r="H775" s="690"/>
      <c r="I775" s="690"/>
      <c r="J775" s="690"/>
      <c r="K775" s="690"/>
      <c r="L775" s="690"/>
      <c r="M775" s="690"/>
      <c r="N775" s="690"/>
      <c r="O775" s="690"/>
      <c r="P775" s="690"/>
      <c r="Q775" s="690"/>
      <c r="R775" s="690"/>
      <c r="S775" s="690"/>
      <c r="T775" s="690"/>
      <c r="U775" s="690"/>
      <c r="V775" s="690"/>
      <c r="W775" s="690"/>
      <c r="X775" s="690"/>
      <c r="Y775" s="690"/>
      <c r="Z775" s="690"/>
      <c r="AA775" s="690"/>
      <c r="AB775" s="690"/>
      <c r="AC775" s="690"/>
      <c r="AD775" s="690"/>
      <c r="AE775" s="690"/>
    </row>
    <row r="776" spans="1:31" ht="15.75" customHeight="1">
      <c r="A776" s="690"/>
      <c r="B776" s="690"/>
      <c r="C776" s="690"/>
      <c r="D776" s="690"/>
      <c r="E776" s="690"/>
      <c r="F776" s="690"/>
      <c r="G776" s="690"/>
      <c r="H776" s="690"/>
      <c r="I776" s="690"/>
      <c r="J776" s="690"/>
      <c r="K776" s="690"/>
      <c r="L776" s="690"/>
      <c r="M776" s="690"/>
      <c r="N776" s="690"/>
      <c r="O776" s="690"/>
      <c r="P776" s="690"/>
      <c r="Q776" s="690"/>
      <c r="R776" s="690"/>
      <c r="S776" s="690"/>
      <c r="T776" s="690"/>
      <c r="U776" s="690"/>
      <c r="V776" s="690"/>
      <c r="W776" s="690"/>
      <c r="X776" s="690"/>
      <c r="Y776" s="690"/>
      <c r="Z776" s="690"/>
      <c r="AA776" s="690"/>
      <c r="AB776" s="690"/>
      <c r="AC776" s="690"/>
      <c r="AD776" s="690"/>
      <c r="AE776" s="690"/>
    </row>
    <row r="777" spans="1:31" ht="15.75" customHeight="1">
      <c r="A777" s="690"/>
      <c r="B777" s="690"/>
      <c r="C777" s="690"/>
      <c r="D777" s="690"/>
      <c r="E777" s="690"/>
      <c r="F777" s="690"/>
      <c r="G777" s="690"/>
      <c r="H777" s="690"/>
      <c r="I777" s="690"/>
      <c r="J777" s="690"/>
      <c r="K777" s="690"/>
      <c r="L777" s="690"/>
      <c r="M777" s="690"/>
      <c r="N777" s="690"/>
      <c r="O777" s="690"/>
      <c r="P777" s="690"/>
      <c r="Q777" s="690"/>
      <c r="R777" s="690"/>
      <c r="S777" s="690"/>
      <c r="T777" s="690"/>
      <c r="U777" s="690"/>
      <c r="V777" s="690"/>
      <c r="W777" s="690"/>
      <c r="X777" s="690"/>
      <c r="Y777" s="690"/>
      <c r="Z777" s="690"/>
      <c r="AA777" s="690"/>
      <c r="AB777" s="690"/>
      <c r="AC777" s="690"/>
      <c r="AD777" s="690"/>
      <c r="AE777" s="690"/>
    </row>
    <row r="778" spans="1:31" ht="15.75" customHeight="1">
      <c r="A778" s="690"/>
      <c r="B778" s="690"/>
      <c r="C778" s="690"/>
      <c r="D778" s="690"/>
      <c r="E778" s="690"/>
      <c r="F778" s="690"/>
      <c r="G778" s="690"/>
      <c r="H778" s="690"/>
      <c r="I778" s="690"/>
      <c r="J778" s="690"/>
      <c r="K778" s="690"/>
      <c r="L778" s="690"/>
      <c r="M778" s="690"/>
      <c r="N778" s="690"/>
      <c r="O778" s="690"/>
      <c r="P778" s="690"/>
      <c r="Q778" s="690"/>
      <c r="R778" s="690"/>
      <c r="S778" s="690"/>
      <c r="T778" s="690"/>
      <c r="U778" s="690"/>
      <c r="V778" s="690"/>
      <c r="W778" s="690"/>
      <c r="X778" s="690"/>
      <c r="Y778" s="690"/>
      <c r="Z778" s="690"/>
      <c r="AA778" s="690"/>
      <c r="AB778" s="690"/>
      <c r="AC778" s="690"/>
      <c r="AD778" s="690"/>
      <c r="AE778" s="690"/>
    </row>
    <row r="779" spans="1:31" ht="15.75" customHeight="1">
      <c r="A779" s="690"/>
      <c r="B779" s="690"/>
      <c r="C779" s="690"/>
      <c r="D779" s="690"/>
      <c r="E779" s="690"/>
      <c r="F779" s="690"/>
      <c r="G779" s="690"/>
      <c r="H779" s="690"/>
      <c r="I779" s="690"/>
      <c r="J779" s="690"/>
      <c r="K779" s="690"/>
      <c r="L779" s="690"/>
      <c r="M779" s="690"/>
      <c r="N779" s="690"/>
      <c r="O779" s="690"/>
      <c r="P779" s="690"/>
      <c r="Q779" s="690"/>
      <c r="R779" s="690"/>
      <c r="S779" s="690"/>
      <c r="T779" s="690"/>
      <c r="U779" s="690"/>
      <c r="V779" s="690"/>
      <c r="W779" s="690"/>
      <c r="X779" s="690"/>
      <c r="Y779" s="690"/>
      <c r="Z779" s="690"/>
      <c r="AA779" s="690"/>
      <c r="AB779" s="690"/>
      <c r="AC779" s="690"/>
      <c r="AD779" s="690"/>
      <c r="AE779" s="690"/>
    </row>
    <row r="780" spans="1:31" ht="15.75" customHeight="1">
      <c r="A780" s="690"/>
      <c r="B780" s="690"/>
      <c r="C780" s="690"/>
      <c r="D780" s="690"/>
      <c r="E780" s="690"/>
      <c r="F780" s="690"/>
      <c r="G780" s="690"/>
      <c r="H780" s="690"/>
      <c r="I780" s="690"/>
      <c r="J780" s="690"/>
      <c r="K780" s="690"/>
      <c r="L780" s="690"/>
      <c r="M780" s="690"/>
      <c r="N780" s="690"/>
      <c r="O780" s="690"/>
      <c r="P780" s="690"/>
      <c r="Q780" s="690"/>
      <c r="R780" s="690"/>
      <c r="S780" s="690"/>
      <c r="T780" s="690"/>
      <c r="U780" s="690"/>
      <c r="V780" s="690"/>
      <c r="W780" s="690"/>
      <c r="X780" s="690"/>
      <c r="Y780" s="690"/>
      <c r="Z780" s="690"/>
      <c r="AA780" s="690"/>
      <c r="AB780" s="690"/>
      <c r="AC780" s="690"/>
      <c r="AD780" s="690"/>
      <c r="AE780" s="690"/>
    </row>
    <row r="781" spans="1:31" ht="15.75" customHeight="1">
      <c r="A781" s="690"/>
      <c r="B781" s="690"/>
      <c r="C781" s="690"/>
      <c r="D781" s="690"/>
      <c r="E781" s="690"/>
      <c r="F781" s="690"/>
      <c r="G781" s="690"/>
      <c r="H781" s="690"/>
      <c r="I781" s="690"/>
      <c r="J781" s="690"/>
      <c r="K781" s="690"/>
      <c r="L781" s="690"/>
      <c r="M781" s="690"/>
      <c r="N781" s="690"/>
      <c r="O781" s="690"/>
      <c r="P781" s="690"/>
      <c r="Q781" s="690"/>
      <c r="R781" s="690"/>
      <c r="S781" s="690"/>
      <c r="T781" s="690"/>
      <c r="U781" s="690"/>
      <c r="V781" s="690"/>
      <c r="W781" s="690"/>
      <c r="X781" s="690"/>
      <c r="Y781" s="690"/>
      <c r="Z781" s="690"/>
      <c r="AA781" s="690"/>
      <c r="AB781" s="690"/>
      <c r="AC781" s="690"/>
      <c r="AD781" s="690"/>
      <c r="AE781" s="690"/>
    </row>
    <row r="782" spans="1:31" ht="15.75" customHeight="1">
      <c r="A782" s="690"/>
      <c r="B782" s="690"/>
      <c r="C782" s="690"/>
      <c r="D782" s="690"/>
      <c r="E782" s="690"/>
      <c r="F782" s="690"/>
      <c r="G782" s="690"/>
      <c r="H782" s="690"/>
      <c r="I782" s="690"/>
      <c r="J782" s="690"/>
      <c r="K782" s="690"/>
      <c r="L782" s="690"/>
      <c r="M782" s="690"/>
      <c r="N782" s="690"/>
      <c r="O782" s="690"/>
      <c r="P782" s="690"/>
      <c r="Q782" s="690"/>
      <c r="R782" s="690"/>
      <c r="S782" s="690"/>
      <c r="T782" s="690"/>
      <c r="U782" s="690"/>
      <c r="V782" s="690"/>
      <c r="W782" s="690"/>
      <c r="X782" s="690"/>
      <c r="Y782" s="690"/>
      <c r="Z782" s="690"/>
      <c r="AA782" s="690"/>
      <c r="AB782" s="690"/>
      <c r="AC782" s="690"/>
      <c r="AD782" s="690"/>
      <c r="AE782" s="690"/>
    </row>
    <row r="783" spans="1:31" ht="15.75" customHeight="1">
      <c r="A783" s="690"/>
      <c r="B783" s="690"/>
      <c r="C783" s="690"/>
      <c r="D783" s="690"/>
      <c r="E783" s="690"/>
      <c r="F783" s="690"/>
      <c r="G783" s="690"/>
      <c r="H783" s="690"/>
      <c r="I783" s="690"/>
      <c r="J783" s="690"/>
      <c r="K783" s="690"/>
      <c r="L783" s="690"/>
      <c r="M783" s="690"/>
      <c r="N783" s="690"/>
      <c r="O783" s="690"/>
      <c r="P783" s="690"/>
      <c r="Q783" s="690"/>
      <c r="R783" s="690"/>
      <c r="S783" s="690"/>
      <c r="T783" s="690"/>
      <c r="U783" s="690"/>
      <c r="V783" s="690"/>
      <c r="W783" s="690"/>
      <c r="X783" s="690"/>
      <c r="Y783" s="690"/>
      <c r="Z783" s="690"/>
      <c r="AA783" s="690"/>
      <c r="AB783" s="690"/>
      <c r="AC783" s="690"/>
      <c r="AD783" s="690"/>
      <c r="AE783" s="690"/>
    </row>
    <row r="784" spans="1:31" ht="15.75" customHeight="1">
      <c r="A784" s="690"/>
      <c r="B784" s="690"/>
      <c r="C784" s="690"/>
      <c r="D784" s="690"/>
      <c r="E784" s="690"/>
      <c r="F784" s="690"/>
      <c r="G784" s="690"/>
      <c r="H784" s="690"/>
      <c r="I784" s="690"/>
      <c r="J784" s="690"/>
      <c r="K784" s="690"/>
      <c r="L784" s="690"/>
      <c r="M784" s="690"/>
      <c r="N784" s="690"/>
      <c r="O784" s="690"/>
      <c r="P784" s="690"/>
      <c r="Q784" s="690"/>
      <c r="R784" s="690"/>
      <c r="S784" s="690"/>
      <c r="T784" s="690"/>
      <c r="U784" s="690"/>
      <c r="V784" s="690"/>
      <c r="W784" s="690"/>
      <c r="X784" s="690"/>
      <c r="Y784" s="690"/>
      <c r="Z784" s="690"/>
      <c r="AA784" s="690"/>
      <c r="AB784" s="690"/>
      <c r="AC784" s="690"/>
      <c r="AD784" s="690"/>
      <c r="AE784" s="690"/>
    </row>
    <row r="785" spans="1:31" ht="15.75" customHeight="1">
      <c r="A785" s="690"/>
      <c r="B785" s="690"/>
      <c r="C785" s="690"/>
      <c r="D785" s="690"/>
      <c r="E785" s="690"/>
      <c r="F785" s="690"/>
      <c r="G785" s="690"/>
      <c r="H785" s="690"/>
      <c r="I785" s="690"/>
      <c r="J785" s="690"/>
      <c r="K785" s="690"/>
      <c r="L785" s="690"/>
      <c r="M785" s="690"/>
      <c r="N785" s="690"/>
      <c r="O785" s="690"/>
      <c r="P785" s="690"/>
      <c r="Q785" s="690"/>
      <c r="R785" s="690"/>
      <c r="S785" s="690"/>
      <c r="T785" s="690"/>
      <c r="U785" s="690"/>
      <c r="V785" s="690"/>
      <c r="W785" s="690"/>
      <c r="X785" s="690"/>
      <c r="Y785" s="690"/>
      <c r="Z785" s="690"/>
      <c r="AA785" s="690"/>
      <c r="AB785" s="690"/>
      <c r="AC785" s="690"/>
      <c r="AD785" s="690"/>
      <c r="AE785" s="690"/>
    </row>
    <row r="786" spans="1:31" ht="15.75" customHeight="1">
      <c r="A786" s="690"/>
      <c r="B786" s="690"/>
      <c r="C786" s="690"/>
      <c r="D786" s="690"/>
      <c r="E786" s="690"/>
      <c r="F786" s="690"/>
      <c r="G786" s="690"/>
      <c r="H786" s="690"/>
      <c r="I786" s="690"/>
      <c r="J786" s="690"/>
      <c r="K786" s="690"/>
      <c r="L786" s="690"/>
      <c r="M786" s="690"/>
      <c r="N786" s="690"/>
      <c r="O786" s="690"/>
      <c r="P786" s="690"/>
      <c r="Q786" s="690"/>
      <c r="R786" s="690"/>
      <c r="S786" s="690"/>
      <c r="T786" s="690"/>
      <c r="U786" s="690"/>
      <c r="V786" s="690"/>
      <c r="W786" s="690"/>
      <c r="X786" s="690"/>
      <c r="Y786" s="690"/>
      <c r="Z786" s="690"/>
      <c r="AA786" s="690"/>
      <c r="AB786" s="690"/>
      <c r="AC786" s="690"/>
      <c r="AD786" s="690"/>
      <c r="AE786" s="690"/>
    </row>
    <row r="787" spans="1:31" ht="15.75" customHeight="1">
      <c r="A787" s="690"/>
      <c r="B787" s="690"/>
      <c r="C787" s="690"/>
      <c r="D787" s="690"/>
      <c r="E787" s="690"/>
      <c r="F787" s="690"/>
      <c r="G787" s="690"/>
      <c r="H787" s="690"/>
      <c r="I787" s="690"/>
      <c r="J787" s="690"/>
      <c r="K787" s="690"/>
      <c r="L787" s="690"/>
      <c r="M787" s="690"/>
      <c r="N787" s="690"/>
      <c r="O787" s="690"/>
      <c r="P787" s="690"/>
      <c r="Q787" s="690"/>
      <c r="R787" s="690"/>
      <c r="S787" s="690"/>
      <c r="T787" s="690"/>
      <c r="U787" s="690"/>
      <c r="V787" s="690"/>
      <c r="W787" s="690"/>
      <c r="X787" s="690"/>
      <c r="Y787" s="690"/>
      <c r="Z787" s="690"/>
      <c r="AA787" s="690"/>
      <c r="AB787" s="690"/>
      <c r="AC787" s="690"/>
      <c r="AD787" s="690"/>
      <c r="AE787" s="690"/>
    </row>
    <row r="788" spans="1:31" ht="15.75" customHeight="1">
      <c r="A788" s="690"/>
      <c r="B788" s="690"/>
      <c r="C788" s="690"/>
      <c r="D788" s="690"/>
      <c r="E788" s="690"/>
      <c r="F788" s="690"/>
      <c r="G788" s="690"/>
      <c r="H788" s="690"/>
      <c r="I788" s="690"/>
      <c r="J788" s="690"/>
      <c r="K788" s="690"/>
      <c r="L788" s="690"/>
      <c r="M788" s="690"/>
      <c r="N788" s="690"/>
      <c r="O788" s="690"/>
      <c r="P788" s="690"/>
      <c r="Q788" s="690"/>
      <c r="R788" s="690"/>
      <c r="S788" s="690"/>
      <c r="T788" s="690"/>
      <c r="U788" s="690"/>
      <c r="V788" s="690"/>
      <c r="W788" s="690"/>
      <c r="X788" s="690"/>
      <c r="Y788" s="690"/>
      <c r="Z788" s="690"/>
      <c r="AA788" s="690"/>
      <c r="AB788" s="690"/>
      <c r="AC788" s="690"/>
      <c r="AD788" s="690"/>
      <c r="AE788" s="690"/>
    </row>
    <row r="789" spans="1:31" ht="15.75" customHeight="1">
      <c r="A789" s="690"/>
      <c r="B789" s="690"/>
      <c r="C789" s="690"/>
      <c r="D789" s="690"/>
      <c r="E789" s="690"/>
      <c r="F789" s="690"/>
      <c r="G789" s="690"/>
      <c r="H789" s="690"/>
      <c r="I789" s="690"/>
      <c r="J789" s="690"/>
      <c r="K789" s="690"/>
      <c r="L789" s="690"/>
      <c r="M789" s="690"/>
      <c r="N789" s="690"/>
      <c r="O789" s="690"/>
      <c r="P789" s="690"/>
      <c r="Q789" s="690"/>
      <c r="R789" s="690"/>
      <c r="S789" s="690"/>
      <c r="T789" s="690"/>
      <c r="U789" s="690"/>
      <c r="V789" s="690"/>
      <c r="W789" s="690"/>
      <c r="X789" s="690"/>
      <c r="Y789" s="690"/>
      <c r="Z789" s="690"/>
      <c r="AA789" s="690"/>
      <c r="AB789" s="690"/>
      <c r="AC789" s="690"/>
      <c r="AD789" s="690"/>
      <c r="AE789" s="690"/>
    </row>
    <row r="790" spans="1:31" ht="15.75" customHeight="1">
      <c r="A790" s="690"/>
      <c r="B790" s="690"/>
      <c r="C790" s="690"/>
      <c r="D790" s="690"/>
      <c r="E790" s="690"/>
      <c r="F790" s="690"/>
      <c r="G790" s="690"/>
      <c r="H790" s="690"/>
      <c r="I790" s="690"/>
      <c r="J790" s="690"/>
      <c r="K790" s="690"/>
      <c r="L790" s="690"/>
      <c r="M790" s="690"/>
      <c r="N790" s="690"/>
      <c r="O790" s="690"/>
      <c r="P790" s="690"/>
      <c r="Q790" s="690"/>
      <c r="R790" s="690"/>
      <c r="S790" s="690"/>
      <c r="T790" s="690"/>
      <c r="U790" s="690"/>
      <c r="V790" s="690"/>
      <c r="W790" s="690"/>
      <c r="X790" s="690"/>
      <c r="Y790" s="690"/>
      <c r="Z790" s="690"/>
      <c r="AA790" s="690"/>
      <c r="AB790" s="690"/>
      <c r="AC790" s="690"/>
      <c r="AD790" s="690"/>
      <c r="AE790" s="690"/>
    </row>
    <row r="791" spans="1:31" ht="15.75" customHeight="1">
      <c r="A791" s="690"/>
      <c r="B791" s="690"/>
      <c r="C791" s="690"/>
      <c r="D791" s="690"/>
      <c r="E791" s="690"/>
      <c r="F791" s="690"/>
      <c r="G791" s="690"/>
      <c r="H791" s="690"/>
      <c r="I791" s="690"/>
      <c r="J791" s="690"/>
      <c r="K791" s="690"/>
      <c r="L791" s="690"/>
      <c r="M791" s="690"/>
      <c r="N791" s="690"/>
      <c r="O791" s="690"/>
      <c r="P791" s="690"/>
      <c r="Q791" s="690"/>
      <c r="R791" s="690"/>
      <c r="S791" s="690"/>
      <c r="T791" s="690"/>
      <c r="U791" s="690"/>
      <c r="V791" s="690"/>
      <c r="W791" s="690"/>
      <c r="X791" s="690"/>
      <c r="Y791" s="690"/>
      <c r="Z791" s="690"/>
      <c r="AA791" s="690"/>
      <c r="AB791" s="690"/>
      <c r="AC791" s="690"/>
      <c r="AD791" s="690"/>
      <c r="AE791" s="690"/>
    </row>
    <row r="792" spans="1:31" ht="15.75" customHeight="1">
      <c r="A792" s="690"/>
      <c r="B792" s="690"/>
      <c r="C792" s="690"/>
      <c r="D792" s="690"/>
      <c r="E792" s="690"/>
      <c r="F792" s="690"/>
      <c r="G792" s="690"/>
      <c r="H792" s="690"/>
      <c r="I792" s="690"/>
      <c r="J792" s="690"/>
      <c r="K792" s="690"/>
      <c r="L792" s="690"/>
      <c r="M792" s="690"/>
      <c r="N792" s="690"/>
      <c r="O792" s="690"/>
      <c r="P792" s="690"/>
      <c r="Q792" s="690"/>
      <c r="R792" s="690"/>
      <c r="S792" s="690"/>
      <c r="T792" s="690"/>
      <c r="U792" s="690"/>
      <c r="V792" s="690"/>
      <c r="W792" s="690"/>
      <c r="X792" s="690"/>
      <c r="Y792" s="690"/>
      <c r="Z792" s="690"/>
      <c r="AA792" s="690"/>
      <c r="AB792" s="690"/>
      <c r="AC792" s="690"/>
      <c r="AD792" s="690"/>
      <c r="AE792" s="690"/>
    </row>
    <row r="793" spans="1:31" ht="15.75" customHeight="1">
      <c r="A793" s="690"/>
      <c r="B793" s="690"/>
      <c r="C793" s="690"/>
      <c r="D793" s="690"/>
      <c r="E793" s="690"/>
      <c r="F793" s="690"/>
      <c r="G793" s="690"/>
      <c r="H793" s="690"/>
      <c r="I793" s="690"/>
      <c r="J793" s="690"/>
      <c r="K793" s="690"/>
      <c r="L793" s="690"/>
      <c r="M793" s="690"/>
      <c r="N793" s="690"/>
      <c r="O793" s="690"/>
      <c r="P793" s="690"/>
      <c r="Q793" s="690"/>
      <c r="R793" s="690"/>
      <c r="S793" s="690"/>
      <c r="T793" s="690"/>
      <c r="U793" s="690"/>
      <c r="V793" s="690"/>
      <c r="W793" s="690"/>
      <c r="X793" s="690"/>
      <c r="Y793" s="690"/>
      <c r="Z793" s="690"/>
      <c r="AA793" s="690"/>
      <c r="AB793" s="690"/>
      <c r="AC793" s="690"/>
      <c r="AD793" s="690"/>
      <c r="AE793" s="690"/>
    </row>
    <row r="794" spans="1:31" ht="15.75" customHeight="1">
      <c r="A794" s="690"/>
      <c r="B794" s="690"/>
      <c r="C794" s="690"/>
      <c r="D794" s="690"/>
      <c r="E794" s="690"/>
      <c r="F794" s="690"/>
      <c r="G794" s="690"/>
      <c r="H794" s="690"/>
      <c r="I794" s="690"/>
      <c r="J794" s="690"/>
      <c r="K794" s="690"/>
      <c r="L794" s="690"/>
      <c r="M794" s="690"/>
      <c r="N794" s="690"/>
      <c r="O794" s="690"/>
      <c r="P794" s="690"/>
      <c r="Q794" s="690"/>
      <c r="R794" s="690"/>
      <c r="S794" s="690"/>
      <c r="T794" s="690"/>
      <c r="U794" s="690"/>
      <c r="V794" s="690"/>
      <c r="W794" s="690"/>
      <c r="X794" s="690"/>
      <c r="Y794" s="690"/>
      <c r="Z794" s="690"/>
      <c r="AA794" s="690"/>
      <c r="AB794" s="690"/>
      <c r="AC794" s="690"/>
      <c r="AD794" s="690"/>
      <c r="AE794" s="690"/>
    </row>
    <row r="795" spans="1:31" ht="15.75" customHeight="1">
      <c r="A795" s="690"/>
      <c r="B795" s="690"/>
      <c r="C795" s="690"/>
      <c r="D795" s="690"/>
      <c r="E795" s="690"/>
      <c r="F795" s="690"/>
      <c r="G795" s="690"/>
      <c r="H795" s="690"/>
      <c r="I795" s="690"/>
      <c r="J795" s="690"/>
      <c r="K795" s="690"/>
      <c r="L795" s="690"/>
      <c r="M795" s="690"/>
      <c r="N795" s="690"/>
      <c r="O795" s="690"/>
      <c r="P795" s="690"/>
      <c r="Q795" s="690"/>
      <c r="R795" s="690"/>
      <c r="S795" s="690"/>
      <c r="T795" s="690"/>
      <c r="U795" s="690"/>
      <c r="V795" s="690"/>
      <c r="W795" s="690"/>
      <c r="X795" s="690"/>
      <c r="Y795" s="690"/>
      <c r="Z795" s="690"/>
      <c r="AA795" s="690"/>
      <c r="AB795" s="690"/>
      <c r="AC795" s="690"/>
      <c r="AD795" s="690"/>
      <c r="AE795" s="690"/>
    </row>
    <row r="796" spans="1:31" ht="15.75" customHeight="1">
      <c r="A796" s="690"/>
      <c r="B796" s="690"/>
      <c r="C796" s="690"/>
      <c r="D796" s="690"/>
      <c r="E796" s="690"/>
      <c r="F796" s="690"/>
      <c r="G796" s="690"/>
      <c r="H796" s="690"/>
      <c r="I796" s="690"/>
      <c r="J796" s="690"/>
      <c r="K796" s="690"/>
      <c r="L796" s="690"/>
      <c r="M796" s="690"/>
      <c r="N796" s="690"/>
      <c r="O796" s="690"/>
      <c r="P796" s="690"/>
      <c r="Q796" s="690"/>
      <c r="R796" s="690"/>
      <c r="S796" s="690"/>
      <c r="T796" s="690"/>
      <c r="U796" s="690"/>
      <c r="V796" s="690"/>
      <c r="W796" s="690"/>
      <c r="X796" s="690"/>
      <c r="Y796" s="690"/>
      <c r="Z796" s="690"/>
      <c r="AA796" s="690"/>
      <c r="AB796" s="690"/>
      <c r="AC796" s="690"/>
      <c r="AD796" s="690"/>
      <c r="AE796" s="690"/>
    </row>
    <row r="797" spans="1:31" ht="15.75" customHeight="1">
      <c r="A797" s="690"/>
      <c r="B797" s="690"/>
      <c r="C797" s="690"/>
      <c r="D797" s="690"/>
      <c r="E797" s="690"/>
      <c r="F797" s="690"/>
      <c r="G797" s="690"/>
      <c r="H797" s="690"/>
      <c r="I797" s="690"/>
      <c r="J797" s="690"/>
      <c r="K797" s="690"/>
      <c r="L797" s="690"/>
      <c r="M797" s="690"/>
      <c r="N797" s="690"/>
      <c r="O797" s="690"/>
      <c r="P797" s="690"/>
      <c r="Q797" s="690"/>
      <c r="R797" s="690"/>
      <c r="S797" s="690"/>
      <c r="T797" s="690"/>
      <c r="U797" s="690"/>
      <c r="V797" s="690"/>
      <c r="W797" s="690"/>
      <c r="X797" s="690"/>
      <c r="Y797" s="690"/>
      <c r="Z797" s="690"/>
      <c r="AA797" s="690"/>
      <c r="AB797" s="690"/>
      <c r="AC797" s="690"/>
      <c r="AD797" s="690"/>
      <c r="AE797" s="690"/>
    </row>
    <row r="798" spans="1:31" ht="15.75" customHeight="1">
      <c r="A798" s="690"/>
      <c r="B798" s="690"/>
      <c r="C798" s="690"/>
      <c r="D798" s="690"/>
      <c r="E798" s="690"/>
      <c r="F798" s="690"/>
      <c r="G798" s="690"/>
      <c r="H798" s="690"/>
      <c r="I798" s="690"/>
      <c r="J798" s="690"/>
      <c r="K798" s="690"/>
      <c r="L798" s="690"/>
      <c r="M798" s="690"/>
      <c r="N798" s="690"/>
      <c r="O798" s="690"/>
      <c r="P798" s="690"/>
      <c r="Q798" s="690"/>
      <c r="R798" s="690"/>
      <c r="S798" s="690"/>
      <c r="T798" s="690"/>
      <c r="U798" s="690"/>
      <c r="V798" s="690"/>
      <c r="W798" s="690"/>
      <c r="X798" s="690"/>
      <c r="Y798" s="690"/>
      <c r="Z798" s="690"/>
      <c r="AA798" s="690"/>
      <c r="AB798" s="690"/>
      <c r="AC798" s="690"/>
      <c r="AD798" s="690"/>
      <c r="AE798" s="690"/>
    </row>
    <row r="799" spans="1:31" ht="15.75" customHeight="1">
      <c r="A799" s="690"/>
      <c r="B799" s="690"/>
      <c r="C799" s="690"/>
      <c r="D799" s="690"/>
      <c r="E799" s="690"/>
      <c r="F799" s="690"/>
      <c r="G799" s="690"/>
      <c r="H799" s="690"/>
      <c r="I799" s="690"/>
      <c r="J799" s="690"/>
      <c r="K799" s="690"/>
      <c r="L799" s="690"/>
      <c r="M799" s="690"/>
      <c r="N799" s="690"/>
      <c r="O799" s="690"/>
      <c r="P799" s="690"/>
      <c r="Q799" s="690"/>
      <c r="R799" s="690"/>
      <c r="S799" s="690"/>
      <c r="T799" s="690"/>
      <c r="U799" s="690"/>
      <c r="V799" s="690"/>
      <c r="W799" s="690"/>
      <c r="X799" s="690"/>
      <c r="Y799" s="690"/>
      <c r="Z799" s="690"/>
      <c r="AA799" s="690"/>
      <c r="AB799" s="690"/>
      <c r="AC799" s="690"/>
      <c r="AD799" s="690"/>
      <c r="AE799" s="690"/>
    </row>
    <row r="800" spans="1:31" ht="15.75" customHeight="1">
      <c r="A800" s="690"/>
      <c r="B800" s="690"/>
      <c r="C800" s="690"/>
      <c r="D800" s="690"/>
      <c r="E800" s="690"/>
      <c r="F800" s="690"/>
      <c r="G800" s="690"/>
      <c r="H800" s="690"/>
      <c r="I800" s="690"/>
      <c r="J800" s="690"/>
      <c r="K800" s="690"/>
      <c r="L800" s="690"/>
      <c r="M800" s="690"/>
      <c r="N800" s="690"/>
      <c r="O800" s="690"/>
      <c r="P800" s="690"/>
      <c r="Q800" s="690"/>
      <c r="R800" s="690"/>
      <c r="S800" s="690"/>
      <c r="T800" s="690"/>
      <c r="U800" s="690"/>
      <c r="V800" s="690"/>
      <c r="W800" s="690"/>
      <c r="X800" s="690"/>
      <c r="Y800" s="690"/>
      <c r="Z800" s="690"/>
      <c r="AA800" s="690"/>
      <c r="AB800" s="690"/>
      <c r="AC800" s="690"/>
      <c r="AD800" s="690"/>
      <c r="AE800" s="690"/>
    </row>
    <row r="801" spans="1:31" ht="15.75" customHeight="1">
      <c r="A801" s="690"/>
      <c r="B801" s="690"/>
      <c r="C801" s="690"/>
      <c r="D801" s="690"/>
      <c r="E801" s="690"/>
      <c r="F801" s="690"/>
      <c r="G801" s="690"/>
      <c r="H801" s="690"/>
      <c r="I801" s="690"/>
      <c r="J801" s="690"/>
      <c r="K801" s="690"/>
      <c r="L801" s="690"/>
      <c r="M801" s="690"/>
      <c r="N801" s="690"/>
      <c r="O801" s="690"/>
      <c r="P801" s="690"/>
      <c r="Q801" s="690"/>
      <c r="R801" s="690"/>
      <c r="S801" s="690"/>
      <c r="T801" s="690"/>
      <c r="U801" s="690"/>
      <c r="V801" s="690"/>
      <c r="W801" s="690"/>
      <c r="X801" s="690"/>
      <c r="Y801" s="690"/>
      <c r="Z801" s="690"/>
      <c r="AA801" s="690"/>
      <c r="AB801" s="690"/>
      <c r="AC801" s="690"/>
      <c r="AD801" s="690"/>
      <c r="AE801" s="690"/>
    </row>
    <row r="802" spans="1:31" ht="15.75" customHeight="1">
      <c r="A802" s="690"/>
      <c r="B802" s="690"/>
      <c r="C802" s="690"/>
      <c r="D802" s="690"/>
      <c r="E802" s="690"/>
      <c r="F802" s="690"/>
      <c r="G802" s="690"/>
      <c r="H802" s="690"/>
      <c r="I802" s="690"/>
      <c r="J802" s="690"/>
      <c r="K802" s="690"/>
      <c r="L802" s="690"/>
      <c r="M802" s="690"/>
      <c r="N802" s="690"/>
      <c r="O802" s="690"/>
      <c r="P802" s="690"/>
      <c r="Q802" s="690"/>
      <c r="R802" s="690"/>
      <c r="S802" s="690"/>
      <c r="T802" s="690"/>
      <c r="U802" s="690"/>
      <c r="V802" s="690"/>
      <c r="W802" s="690"/>
      <c r="X802" s="690"/>
      <c r="Y802" s="690"/>
      <c r="Z802" s="690"/>
      <c r="AA802" s="690"/>
      <c r="AB802" s="690"/>
      <c r="AC802" s="690"/>
      <c r="AD802" s="690"/>
      <c r="AE802" s="690"/>
    </row>
    <row r="803" spans="1:31" ht="15.75" customHeight="1">
      <c r="A803" s="690"/>
      <c r="B803" s="690"/>
      <c r="C803" s="690"/>
      <c r="D803" s="690"/>
      <c r="E803" s="690"/>
      <c r="F803" s="690"/>
      <c r="G803" s="690"/>
      <c r="H803" s="690"/>
      <c r="I803" s="690"/>
      <c r="J803" s="690"/>
      <c r="K803" s="690"/>
      <c r="L803" s="690"/>
      <c r="M803" s="690"/>
      <c r="N803" s="690"/>
      <c r="O803" s="690"/>
      <c r="P803" s="690"/>
      <c r="Q803" s="690"/>
      <c r="R803" s="690"/>
      <c r="S803" s="690"/>
      <c r="T803" s="690"/>
      <c r="U803" s="690"/>
      <c r="V803" s="690"/>
      <c r="W803" s="690"/>
      <c r="X803" s="690"/>
      <c r="Y803" s="690"/>
      <c r="Z803" s="690"/>
      <c r="AA803" s="690"/>
      <c r="AB803" s="690"/>
      <c r="AC803" s="690"/>
      <c r="AD803" s="690"/>
      <c r="AE803" s="690"/>
    </row>
    <row r="804" spans="1:31" ht="15.75" customHeight="1">
      <c r="A804" s="690"/>
      <c r="B804" s="690"/>
      <c r="C804" s="690"/>
      <c r="D804" s="690"/>
      <c r="E804" s="690"/>
      <c r="F804" s="690"/>
      <c r="G804" s="690"/>
      <c r="H804" s="690"/>
      <c r="I804" s="690"/>
      <c r="J804" s="690"/>
      <c r="K804" s="690"/>
      <c r="L804" s="690"/>
      <c r="M804" s="690"/>
      <c r="N804" s="690"/>
      <c r="O804" s="690"/>
      <c r="P804" s="690"/>
      <c r="Q804" s="690"/>
      <c r="R804" s="690"/>
      <c r="S804" s="690"/>
      <c r="T804" s="690"/>
      <c r="U804" s="690"/>
      <c r="V804" s="690"/>
      <c r="W804" s="690"/>
      <c r="X804" s="690"/>
      <c r="Y804" s="690"/>
      <c r="Z804" s="690"/>
      <c r="AA804" s="690"/>
      <c r="AB804" s="690"/>
      <c r="AC804" s="690"/>
      <c r="AD804" s="690"/>
      <c r="AE804" s="690"/>
    </row>
    <row r="805" spans="1:31" ht="15.75" customHeight="1">
      <c r="A805" s="690"/>
      <c r="B805" s="690"/>
      <c r="C805" s="690"/>
      <c r="D805" s="690"/>
      <c r="E805" s="690"/>
      <c r="F805" s="690"/>
      <c r="G805" s="690"/>
      <c r="H805" s="690"/>
      <c r="I805" s="690"/>
      <c r="J805" s="690"/>
      <c r="K805" s="690"/>
      <c r="L805" s="690"/>
      <c r="M805" s="690"/>
      <c r="N805" s="690"/>
      <c r="O805" s="690"/>
      <c r="P805" s="690"/>
      <c r="Q805" s="690"/>
      <c r="R805" s="690"/>
      <c r="S805" s="690"/>
      <c r="T805" s="690"/>
      <c r="U805" s="690"/>
      <c r="V805" s="690"/>
      <c r="W805" s="690"/>
      <c r="X805" s="690"/>
      <c r="Y805" s="690"/>
      <c r="Z805" s="690"/>
      <c r="AA805" s="690"/>
      <c r="AB805" s="690"/>
      <c r="AC805" s="690"/>
      <c r="AD805" s="690"/>
      <c r="AE805" s="690"/>
    </row>
    <row r="806" spans="1:31" ht="15.75" customHeight="1">
      <c r="A806" s="690"/>
      <c r="B806" s="690"/>
      <c r="C806" s="690"/>
      <c r="D806" s="690"/>
      <c r="E806" s="690"/>
      <c r="F806" s="690"/>
      <c r="G806" s="690"/>
      <c r="H806" s="690"/>
      <c r="I806" s="690"/>
      <c r="J806" s="690"/>
      <c r="K806" s="690"/>
      <c r="L806" s="690"/>
      <c r="M806" s="690"/>
      <c r="N806" s="690"/>
      <c r="O806" s="690"/>
      <c r="P806" s="690"/>
      <c r="Q806" s="690"/>
      <c r="R806" s="690"/>
      <c r="S806" s="690"/>
      <c r="T806" s="690"/>
      <c r="U806" s="690"/>
      <c r="V806" s="690"/>
      <c r="W806" s="690"/>
      <c r="X806" s="690"/>
      <c r="Y806" s="690"/>
      <c r="Z806" s="690"/>
      <c r="AA806" s="690"/>
      <c r="AB806" s="690"/>
      <c r="AC806" s="690"/>
      <c r="AD806" s="690"/>
      <c r="AE806" s="690"/>
    </row>
    <row r="807" spans="1:31" ht="15.75" customHeight="1">
      <c r="A807" s="690"/>
      <c r="B807" s="690"/>
      <c r="C807" s="690"/>
      <c r="D807" s="690"/>
      <c r="E807" s="690"/>
      <c r="F807" s="690"/>
      <c r="G807" s="690"/>
      <c r="H807" s="690"/>
      <c r="I807" s="690"/>
      <c r="J807" s="690"/>
      <c r="K807" s="690"/>
      <c r="L807" s="690"/>
      <c r="M807" s="690"/>
      <c r="N807" s="690"/>
      <c r="O807" s="690"/>
      <c r="P807" s="690"/>
      <c r="Q807" s="690"/>
      <c r="R807" s="690"/>
      <c r="S807" s="690"/>
      <c r="T807" s="690"/>
      <c r="U807" s="690"/>
      <c r="V807" s="690"/>
      <c r="W807" s="690"/>
      <c r="X807" s="690"/>
      <c r="Y807" s="690"/>
      <c r="Z807" s="690"/>
      <c r="AA807" s="690"/>
      <c r="AB807" s="690"/>
      <c r="AC807" s="690"/>
      <c r="AD807" s="690"/>
      <c r="AE807" s="690"/>
    </row>
    <row r="808" spans="1:31" ht="15.75" customHeight="1">
      <c r="A808" s="690"/>
      <c r="B808" s="690"/>
      <c r="C808" s="690"/>
      <c r="D808" s="690"/>
      <c r="E808" s="690"/>
      <c r="F808" s="690"/>
      <c r="G808" s="690"/>
      <c r="H808" s="690"/>
      <c r="I808" s="690"/>
      <c r="J808" s="690"/>
      <c r="K808" s="690"/>
      <c r="L808" s="690"/>
      <c r="M808" s="690"/>
      <c r="N808" s="690"/>
      <c r="O808" s="690"/>
      <c r="P808" s="690"/>
      <c r="Q808" s="690"/>
      <c r="R808" s="690"/>
      <c r="S808" s="690"/>
      <c r="T808" s="690"/>
      <c r="U808" s="690"/>
      <c r="V808" s="690"/>
      <c r="W808" s="690"/>
      <c r="X808" s="690"/>
      <c r="Y808" s="690"/>
      <c r="Z808" s="690"/>
      <c r="AA808" s="690"/>
      <c r="AB808" s="690"/>
      <c r="AC808" s="690"/>
      <c r="AD808" s="690"/>
      <c r="AE808" s="690"/>
    </row>
    <row r="809" spans="1:31" ht="15.75" customHeight="1">
      <c r="A809" s="690"/>
      <c r="B809" s="690"/>
      <c r="C809" s="690"/>
      <c r="D809" s="690"/>
      <c r="E809" s="690"/>
      <c r="F809" s="690"/>
      <c r="G809" s="690"/>
      <c r="H809" s="690"/>
      <c r="I809" s="690"/>
      <c r="J809" s="690"/>
      <c r="K809" s="690"/>
      <c r="L809" s="690"/>
      <c r="M809" s="690"/>
      <c r="N809" s="690"/>
      <c r="O809" s="690"/>
      <c r="P809" s="690"/>
      <c r="Q809" s="690"/>
      <c r="R809" s="690"/>
      <c r="S809" s="690"/>
      <c r="T809" s="690"/>
      <c r="U809" s="690"/>
      <c r="V809" s="690"/>
      <c r="W809" s="690"/>
      <c r="X809" s="690"/>
      <c r="Y809" s="690"/>
      <c r="Z809" s="690"/>
      <c r="AA809" s="690"/>
      <c r="AB809" s="690"/>
      <c r="AC809" s="690"/>
      <c r="AD809" s="690"/>
      <c r="AE809" s="690"/>
    </row>
    <row r="810" spans="1:31" ht="15.75" customHeight="1">
      <c r="A810" s="690"/>
      <c r="B810" s="690"/>
      <c r="C810" s="690"/>
      <c r="D810" s="690"/>
      <c r="E810" s="690"/>
      <c r="F810" s="690"/>
      <c r="G810" s="690"/>
      <c r="H810" s="690"/>
      <c r="I810" s="690"/>
      <c r="J810" s="690"/>
      <c r="K810" s="690"/>
      <c r="L810" s="690"/>
      <c r="M810" s="690"/>
      <c r="N810" s="690"/>
      <c r="O810" s="690"/>
      <c r="P810" s="690"/>
      <c r="Q810" s="690"/>
      <c r="R810" s="690"/>
      <c r="S810" s="690"/>
      <c r="T810" s="690"/>
      <c r="U810" s="690"/>
      <c r="V810" s="690"/>
      <c r="W810" s="690"/>
      <c r="X810" s="690"/>
      <c r="Y810" s="690"/>
      <c r="Z810" s="690"/>
      <c r="AA810" s="690"/>
      <c r="AB810" s="690"/>
      <c r="AC810" s="690"/>
      <c r="AD810" s="690"/>
      <c r="AE810" s="690"/>
    </row>
    <row r="811" spans="1:31" ht="15.75" customHeight="1">
      <c r="A811" s="690"/>
      <c r="B811" s="690"/>
      <c r="C811" s="690"/>
      <c r="D811" s="690"/>
      <c r="E811" s="690"/>
      <c r="F811" s="690"/>
      <c r="G811" s="690"/>
      <c r="H811" s="690"/>
      <c r="I811" s="690"/>
      <c r="J811" s="690"/>
      <c r="K811" s="690"/>
      <c r="L811" s="690"/>
      <c r="M811" s="690"/>
      <c r="N811" s="690"/>
      <c r="O811" s="690"/>
      <c r="P811" s="690"/>
      <c r="Q811" s="690"/>
      <c r="R811" s="690"/>
      <c r="S811" s="690"/>
      <c r="T811" s="690"/>
      <c r="U811" s="690"/>
      <c r="V811" s="690"/>
      <c r="W811" s="690"/>
      <c r="X811" s="690"/>
      <c r="Y811" s="690"/>
      <c r="Z811" s="690"/>
      <c r="AA811" s="690"/>
      <c r="AB811" s="690"/>
      <c r="AC811" s="690"/>
      <c r="AD811" s="690"/>
      <c r="AE811" s="690"/>
    </row>
    <row r="812" spans="1:31" ht="15.75" customHeight="1">
      <c r="A812" s="690"/>
      <c r="B812" s="690"/>
      <c r="C812" s="690"/>
      <c r="D812" s="690"/>
      <c r="E812" s="690"/>
      <c r="F812" s="690"/>
      <c r="G812" s="690"/>
      <c r="H812" s="690"/>
      <c r="I812" s="690"/>
      <c r="J812" s="690"/>
      <c r="K812" s="690"/>
      <c r="L812" s="690"/>
      <c r="M812" s="690"/>
      <c r="N812" s="690"/>
      <c r="O812" s="690"/>
      <c r="P812" s="690"/>
      <c r="Q812" s="690"/>
      <c r="R812" s="690"/>
      <c r="S812" s="690"/>
      <c r="T812" s="690"/>
      <c r="U812" s="690"/>
      <c r="V812" s="690"/>
      <c r="W812" s="690"/>
      <c r="X812" s="690"/>
      <c r="Y812" s="690"/>
      <c r="Z812" s="690"/>
      <c r="AA812" s="690"/>
      <c r="AB812" s="690"/>
      <c r="AC812" s="690"/>
      <c r="AD812" s="690"/>
      <c r="AE812" s="690"/>
    </row>
    <row r="813" spans="1:31" ht="15.75" customHeight="1">
      <c r="A813" s="690"/>
      <c r="B813" s="690"/>
      <c r="C813" s="690"/>
      <c r="D813" s="690"/>
      <c r="E813" s="690"/>
      <c r="F813" s="690"/>
      <c r="G813" s="690"/>
      <c r="H813" s="690"/>
      <c r="I813" s="690"/>
      <c r="J813" s="690"/>
      <c r="K813" s="690"/>
      <c r="L813" s="690"/>
      <c r="M813" s="690"/>
      <c r="N813" s="690"/>
      <c r="O813" s="690"/>
      <c r="P813" s="690"/>
      <c r="Q813" s="690"/>
      <c r="R813" s="690"/>
      <c r="S813" s="690"/>
      <c r="T813" s="690"/>
      <c r="U813" s="690"/>
      <c r="V813" s="690"/>
      <c r="W813" s="690"/>
      <c r="X813" s="690"/>
      <c r="Y813" s="690"/>
      <c r="Z813" s="690"/>
      <c r="AA813" s="690"/>
      <c r="AB813" s="690"/>
      <c r="AC813" s="690"/>
      <c r="AD813" s="690"/>
      <c r="AE813" s="690"/>
    </row>
    <row r="814" spans="1:31" ht="15.75" customHeight="1">
      <c r="A814" s="690"/>
      <c r="B814" s="690"/>
      <c r="C814" s="690"/>
      <c r="D814" s="690"/>
      <c r="E814" s="690"/>
      <c r="F814" s="690"/>
      <c r="G814" s="690"/>
      <c r="H814" s="690"/>
      <c r="I814" s="690"/>
      <c r="J814" s="690"/>
      <c r="K814" s="690"/>
      <c r="L814" s="690"/>
      <c r="M814" s="690"/>
      <c r="N814" s="690"/>
      <c r="O814" s="690"/>
      <c r="P814" s="690"/>
      <c r="Q814" s="690"/>
      <c r="R814" s="690"/>
      <c r="S814" s="690"/>
      <c r="T814" s="690"/>
      <c r="U814" s="690"/>
      <c r="V814" s="690"/>
      <c r="W814" s="690"/>
      <c r="X814" s="690"/>
      <c r="Y814" s="690"/>
      <c r="Z814" s="690"/>
      <c r="AA814" s="690"/>
      <c r="AB814" s="690"/>
      <c r="AC814" s="690"/>
      <c r="AD814" s="690"/>
      <c r="AE814" s="690"/>
    </row>
    <row r="815" spans="1:31" ht="15.75" customHeight="1">
      <c r="A815" s="690"/>
      <c r="B815" s="690"/>
      <c r="C815" s="690"/>
      <c r="D815" s="690"/>
      <c r="E815" s="690"/>
      <c r="F815" s="690"/>
      <c r="G815" s="690"/>
      <c r="H815" s="690"/>
      <c r="I815" s="690"/>
      <c r="J815" s="690"/>
      <c r="K815" s="690"/>
      <c r="L815" s="690"/>
      <c r="M815" s="690"/>
      <c r="N815" s="690"/>
      <c r="O815" s="690"/>
      <c r="P815" s="690"/>
      <c r="Q815" s="690"/>
      <c r="R815" s="690"/>
      <c r="S815" s="690"/>
      <c r="T815" s="690"/>
      <c r="U815" s="690"/>
      <c r="V815" s="690"/>
      <c r="W815" s="690"/>
      <c r="X815" s="690"/>
      <c r="Y815" s="690"/>
      <c r="Z815" s="690"/>
      <c r="AA815" s="690"/>
      <c r="AB815" s="690"/>
      <c r="AC815" s="690"/>
      <c r="AD815" s="690"/>
      <c r="AE815" s="690"/>
    </row>
    <row r="816" spans="1:31" ht="15.75" customHeight="1">
      <c r="A816" s="690"/>
      <c r="B816" s="690"/>
      <c r="C816" s="690"/>
      <c r="D816" s="690"/>
      <c r="E816" s="690"/>
      <c r="F816" s="690"/>
      <c r="G816" s="690"/>
      <c r="H816" s="690"/>
      <c r="I816" s="690"/>
      <c r="J816" s="690"/>
      <c r="K816" s="690"/>
      <c r="L816" s="690"/>
      <c r="M816" s="690"/>
      <c r="N816" s="690"/>
      <c r="O816" s="690"/>
      <c r="P816" s="690"/>
      <c r="Q816" s="690"/>
      <c r="R816" s="690"/>
      <c r="S816" s="690"/>
      <c r="T816" s="690"/>
      <c r="U816" s="690"/>
      <c r="V816" s="690"/>
      <c r="W816" s="690"/>
      <c r="X816" s="690"/>
      <c r="Y816" s="690"/>
      <c r="Z816" s="690"/>
      <c r="AA816" s="690"/>
      <c r="AB816" s="690"/>
      <c r="AC816" s="690"/>
      <c r="AD816" s="690"/>
      <c r="AE816" s="690"/>
    </row>
    <row r="817" spans="1:31" ht="15.75" customHeight="1">
      <c r="A817" s="690"/>
      <c r="B817" s="690"/>
      <c r="C817" s="690"/>
      <c r="D817" s="690"/>
      <c r="E817" s="690"/>
      <c r="F817" s="690"/>
      <c r="G817" s="690"/>
      <c r="H817" s="690"/>
      <c r="I817" s="690"/>
      <c r="J817" s="690"/>
      <c r="K817" s="690"/>
      <c r="L817" s="690"/>
      <c r="M817" s="690"/>
      <c r="N817" s="690"/>
      <c r="O817" s="690"/>
      <c r="P817" s="690"/>
      <c r="Q817" s="690"/>
      <c r="R817" s="690"/>
      <c r="S817" s="690"/>
      <c r="T817" s="690"/>
      <c r="U817" s="690"/>
      <c r="V817" s="690"/>
      <c r="W817" s="690"/>
      <c r="X817" s="690"/>
      <c r="Y817" s="690"/>
      <c r="Z817" s="690"/>
      <c r="AA817" s="690"/>
      <c r="AB817" s="690"/>
      <c r="AC817" s="690"/>
      <c r="AD817" s="690"/>
      <c r="AE817" s="690"/>
    </row>
    <row r="818" spans="1:31" ht="15.75" customHeight="1">
      <c r="A818" s="690"/>
      <c r="B818" s="690"/>
      <c r="C818" s="690"/>
      <c r="D818" s="690"/>
      <c r="E818" s="690"/>
      <c r="F818" s="690"/>
      <c r="G818" s="690"/>
      <c r="H818" s="690"/>
      <c r="I818" s="690"/>
      <c r="J818" s="690"/>
      <c r="K818" s="690"/>
      <c r="L818" s="690"/>
      <c r="M818" s="690"/>
      <c r="N818" s="690"/>
      <c r="O818" s="690"/>
      <c r="P818" s="690"/>
      <c r="Q818" s="690"/>
      <c r="R818" s="690"/>
      <c r="S818" s="690"/>
      <c r="T818" s="690"/>
      <c r="U818" s="690"/>
      <c r="V818" s="690"/>
      <c r="W818" s="690"/>
      <c r="X818" s="690"/>
      <c r="Y818" s="690"/>
      <c r="Z818" s="690"/>
      <c r="AA818" s="690"/>
      <c r="AB818" s="690"/>
      <c r="AC818" s="690"/>
      <c r="AD818" s="690"/>
      <c r="AE818" s="690"/>
    </row>
    <row r="819" spans="1:31" ht="15.75" customHeight="1">
      <c r="A819" s="690"/>
      <c r="B819" s="690"/>
      <c r="C819" s="690"/>
      <c r="D819" s="690"/>
      <c r="E819" s="690"/>
      <c r="F819" s="690"/>
      <c r="G819" s="690"/>
      <c r="H819" s="690"/>
      <c r="I819" s="690"/>
      <c r="J819" s="690"/>
      <c r="K819" s="690"/>
      <c r="L819" s="690"/>
      <c r="M819" s="690"/>
      <c r="N819" s="690"/>
      <c r="O819" s="690"/>
      <c r="P819" s="690"/>
      <c r="Q819" s="690"/>
      <c r="R819" s="690"/>
      <c r="S819" s="690"/>
      <c r="T819" s="690"/>
      <c r="U819" s="690"/>
      <c r="V819" s="690"/>
      <c r="W819" s="690"/>
      <c r="X819" s="690"/>
      <c r="Y819" s="690"/>
      <c r="Z819" s="690"/>
      <c r="AA819" s="690"/>
      <c r="AB819" s="690"/>
      <c r="AC819" s="690"/>
      <c r="AD819" s="690"/>
      <c r="AE819" s="690"/>
    </row>
    <row r="820" spans="1:31" ht="15.75" customHeight="1">
      <c r="A820" s="690"/>
      <c r="B820" s="690"/>
      <c r="C820" s="690"/>
      <c r="D820" s="690"/>
      <c r="E820" s="690"/>
      <c r="F820" s="690"/>
      <c r="G820" s="690"/>
      <c r="H820" s="690"/>
      <c r="I820" s="690"/>
      <c r="J820" s="690"/>
      <c r="K820" s="690"/>
      <c r="L820" s="690"/>
      <c r="M820" s="690"/>
      <c r="N820" s="690"/>
      <c r="O820" s="690"/>
      <c r="P820" s="690"/>
      <c r="Q820" s="690"/>
      <c r="R820" s="690"/>
      <c r="S820" s="690"/>
      <c r="T820" s="690"/>
      <c r="U820" s="690"/>
      <c r="V820" s="690"/>
      <c r="W820" s="690"/>
      <c r="X820" s="690"/>
      <c r="Y820" s="690"/>
      <c r="Z820" s="690"/>
      <c r="AA820" s="690"/>
      <c r="AB820" s="690"/>
      <c r="AC820" s="690"/>
      <c r="AD820" s="690"/>
      <c r="AE820" s="690"/>
    </row>
    <row r="821" spans="1:31" ht="15.75" customHeight="1">
      <c r="A821" s="690"/>
      <c r="B821" s="690"/>
      <c r="C821" s="690"/>
      <c r="D821" s="690"/>
      <c r="E821" s="690"/>
      <c r="F821" s="690"/>
      <c r="G821" s="690"/>
      <c r="H821" s="690"/>
      <c r="I821" s="690"/>
      <c r="J821" s="690"/>
      <c r="K821" s="690"/>
      <c r="L821" s="690"/>
      <c r="M821" s="690"/>
      <c r="N821" s="690"/>
      <c r="O821" s="690"/>
      <c r="P821" s="690"/>
      <c r="Q821" s="690"/>
      <c r="R821" s="690"/>
      <c r="S821" s="690"/>
      <c r="T821" s="690"/>
      <c r="U821" s="690"/>
      <c r="V821" s="690"/>
      <c r="W821" s="690"/>
      <c r="X821" s="690"/>
      <c r="Y821" s="690"/>
      <c r="Z821" s="690"/>
      <c r="AA821" s="690"/>
      <c r="AB821" s="690"/>
      <c r="AC821" s="690"/>
      <c r="AD821" s="690"/>
      <c r="AE821" s="690"/>
    </row>
    <row r="822" spans="1:31" ht="15.75" customHeight="1">
      <c r="A822" s="690"/>
      <c r="B822" s="690"/>
      <c r="C822" s="690"/>
      <c r="D822" s="690"/>
      <c r="E822" s="690"/>
      <c r="F822" s="690"/>
      <c r="G822" s="690"/>
      <c r="H822" s="690"/>
      <c r="I822" s="690"/>
      <c r="J822" s="690"/>
      <c r="K822" s="690"/>
      <c r="L822" s="690"/>
      <c r="M822" s="690"/>
      <c r="N822" s="690"/>
      <c r="O822" s="690"/>
      <c r="P822" s="690"/>
      <c r="Q822" s="690"/>
      <c r="R822" s="690"/>
      <c r="S822" s="690"/>
      <c r="T822" s="690"/>
      <c r="U822" s="690"/>
      <c r="V822" s="690"/>
      <c r="W822" s="690"/>
      <c r="X822" s="690"/>
      <c r="Y822" s="690"/>
      <c r="Z822" s="690"/>
      <c r="AA822" s="690"/>
      <c r="AB822" s="690"/>
      <c r="AC822" s="690"/>
      <c r="AD822" s="690"/>
      <c r="AE822" s="690"/>
    </row>
    <row r="823" spans="1:31" ht="15.75" customHeight="1">
      <c r="A823" s="690"/>
      <c r="B823" s="690"/>
      <c r="C823" s="690"/>
      <c r="D823" s="690"/>
      <c r="E823" s="690"/>
      <c r="F823" s="690"/>
      <c r="G823" s="690"/>
      <c r="H823" s="690"/>
      <c r="I823" s="690"/>
      <c r="J823" s="690"/>
      <c r="K823" s="690"/>
      <c r="L823" s="690"/>
      <c r="M823" s="690"/>
      <c r="N823" s="690"/>
      <c r="O823" s="690"/>
      <c r="P823" s="690"/>
      <c r="Q823" s="690"/>
      <c r="R823" s="690"/>
      <c r="S823" s="690"/>
      <c r="T823" s="690"/>
      <c r="U823" s="690"/>
      <c r="V823" s="690"/>
      <c r="W823" s="690"/>
      <c r="X823" s="690"/>
      <c r="Y823" s="690"/>
      <c r="Z823" s="690"/>
      <c r="AA823" s="690"/>
      <c r="AB823" s="690"/>
      <c r="AC823" s="690"/>
      <c r="AD823" s="690"/>
      <c r="AE823" s="690"/>
    </row>
    <row r="824" spans="1:31" ht="15.75" customHeight="1">
      <c r="A824" s="690"/>
      <c r="B824" s="690"/>
      <c r="C824" s="690"/>
      <c r="D824" s="690"/>
      <c r="E824" s="690"/>
      <c r="F824" s="690"/>
      <c r="G824" s="690"/>
      <c r="H824" s="690"/>
      <c r="I824" s="690"/>
      <c r="J824" s="690"/>
      <c r="K824" s="690"/>
      <c r="L824" s="690"/>
      <c r="M824" s="690"/>
      <c r="N824" s="690"/>
      <c r="O824" s="690"/>
      <c r="P824" s="690"/>
      <c r="Q824" s="690"/>
      <c r="R824" s="690"/>
      <c r="S824" s="690"/>
      <c r="T824" s="690"/>
      <c r="U824" s="690"/>
      <c r="V824" s="690"/>
      <c r="W824" s="690"/>
      <c r="X824" s="690"/>
      <c r="Y824" s="690"/>
      <c r="Z824" s="690"/>
      <c r="AA824" s="690"/>
      <c r="AB824" s="690"/>
      <c r="AC824" s="690"/>
      <c r="AD824" s="690"/>
      <c r="AE824" s="690"/>
    </row>
    <row r="825" spans="1:31" ht="15.75" customHeight="1">
      <c r="A825" s="690"/>
      <c r="B825" s="690"/>
      <c r="C825" s="690"/>
      <c r="D825" s="690"/>
      <c r="E825" s="690"/>
      <c r="F825" s="690"/>
      <c r="G825" s="690"/>
      <c r="H825" s="690"/>
      <c r="I825" s="690"/>
      <c r="J825" s="690"/>
      <c r="K825" s="690"/>
      <c r="L825" s="690"/>
      <c r="M825" s="690"/>
      <c r="N825" s="690"/>
      <c r="O825" s="690"/>
      <c r="P825" s="690"/>
      <c r="Q825" s="690"/>
      <c r="R825" s="690"/>
      <c r="S825" s="690"/>
      <c r="T825" s="690"/>
      <c r="U825" s="690"/>
      <c r="V825" s="690"/>
      <c r="W825" s="690"/>
      <c r="X825" s="690"/>
      <c r="Y825" s="690"/>
      <c r="Z825" s="690"/>
      <c r="AA825" s="690"/>
      <c r="AB825" s="690"/>
      <c r="AC825" s="690"/>
      <c r="AD825" s="690"/>
      <c r="AE825" s="690"/>
    </row>
    <row r="826" spans="1:31" ht="15.75" customHeight="1">
      <c r="A826" s="690"/>
      <c r="B826" s="690"/>
      <c r="C826" s="690"/>
      <c r="D826" s="690"/>
      <c r="E826" s="690"/>
      <c r="F826" s="690"/>
      <c r="G826" s="690"/>
      <c r="H826" s="690"/>
      <c r="I826" s="690"/>
      <c r="J826" s="690"/>
      <c r="K826" s="690"/>
      <c r="L826" s="690"/>
      <c r="M826" s="690"/>
      <c r="N826" s="690"/>
      <c r="O826" s="690"/>
      <c r="P826" s="690"/>
      <c r="Q826" s="690"/>
      <c r="R826" s="690"/>
      <c r="S826" s="690"/>
      <c r="T826" s="690"/>
      <c r="U826" s="690"/>
      <c r="V826" s="690"/>
      <c r="W826" s="690"/>
      <c r="X826" s="690"/>
      <c r="Y826" s="690"/>
      <c r="Z826" s="690"/>
      <c r="AA826" s="690"/>
      <c r="AB826" s="690"/>
      <c r="AC826" s="690"/>
      <c r="AD826" s="690"/>
      <c r="AE826" s="690"/>
    </row>
    <row r="827" spans="1:31" ht="15.75" customHeight="1">
      <c r="A827" s="690"/>
      <c r="B827" s="690"/>
      <c r="C827" s="690"/>
      <c r="D827" s="690"/>
      <c r="E827" s="690"/>
      <c r="F827" s="690"/>
      <c r="G827" s="690"/>
      <c r="H827" s="690"/>
      <c r="I827" s="690"/>
      <c r="J827" s="690"/>
      <c r="K827" s="690"/>
      <c r="L827" s="690"/>
      <c r="M827" s="690"/>
      <c r="N827" s="690"/>
      <c r="O827" s="690"/>
      <c r="P827" s="690"/>
      <c r="Q827" s="690"/>
      <c r="R827" s="690"/>
      <c r="S827" s="690"/>
      <c r="T827" s="690"/>
      <c r="U827" s="690"/>
      <c r="V827" s="690"/>
      <c r="W827" s="690"/>
      <c r="X827" s="690"/>
      <c r="Y827" s="690"/>
      <c r="Z827" s="690"/>
      <c r="AA827" s="690"/>
      <c r="AB827" s="690"/>
      <c r="AC827" s="690"/>
      <c r="AD827" s="690"/>
      <c r="AE827" s="690"/>
    </row>
    <row r="828" spans="1:31" ht="15.75" customHeight="1">
      <c r="A828" s="690"/>
      <c r="B828" s="690"/>
      <c r="C828" s="690"/>
      <c r="D828" s="690"/>
      <c r="E828" s="690"/>
      <c r="F828" s="690"/>
      <c r="G828" s="690"/>
      <c r="H828" s="690"/>
      <c r="I828" s="690"/>
      <c r="J828" s="690"/>
      <c r="K828" s="690"/>
      <c r="L828" s="690"/>
      <c r="M828" s="690"/>
      <c r="N828" s="690"/>
      <c r="O828" s="690"/>
      <c r="P828" s="690"/>
      <c r="Q828" s="690"/>
      <c r="R828" s="690"/>
      <c r="S828" s="690"/>
      <c r="T828" s="690"/>
      <c r="U828" s="690"/>
      <c r="V828" s="690"/>
      <c r="W828" s="690"/>
      <c r="X828" s="690"/>
      <c r="Y828" s="690"/>
      <c r="Z828" s="690"/>
      <c r="AA828" s="690"/>
      <c r="AB828" s="690"/>
      <c r="AC828" s="690"/>
      <c r="AD828" s="690"/>
      <c r="AE828" s="690"/>
    </row>
    <row r="829" spans="1:31" ht="15.75" customHeight="1">
      <c r="A829" s="690"/>
      <c r="B829" s="690"/>
      <c r="C829" s="690"/>
      <c r="D829" s="690"/>
      <c r="E829" s="690"/>
      <c r="F829" s="690"/>
      <c r="G829" s="690"/>
      <c r="H829" s="690"/>
      <c r="I829" s="690"/>
      <c r="J829" s="690"/>
      <c r="K829" s="690"/>
      <c r="L829" s="690"/>
      <c r="M829" s="690"/>
      <c r="N829" s="690"/>
      <c r="O829" s="690"/>
      <c r="P829" s="690"/>
      <c r="Q829" s="690"/>
      <c r="R829" s="690"/>
      <c r="S829" s="690"/>
      <c r="T829" s="690"/>
      <c r="U829" s="690"/>
      <c r="V829" s="690"/>
      <c r="W829" s="690"/>
      <c r="X829" s="690"/>
      <c r="Y829" s="690"/>
      <c r="Z829" s="690"/>
      <c r="AA829" s="690"/>
      <c r="AB829" s="690"/>
      <c r="AC829" s="690"/>
      <c r="AD829" s="690"/>
      <c r="AE829" s="690"/>
    </row>
    <row r="830" spans="1:31" ht="15.75" customHeight="1">
      <c r="A830" s="690"/>
      <c r="B830" s="690"/>
      <c r="C830" s="690"/>
      <c r="D830" s="690"/>
      <c r="E830" s="690"/>
      <c r="F830" s="690"/>
      <c r="G830" s="690"/>
      <c r="H830" s="690"/>
      <c r="I830" s="690"/>
      <c r="J830" s="690"/>
      <c r="K830" s="690"/>
      <c r="L830" s="690"/>
      <c r="M830" s="690"/>
      <c r="N830" s="690"/>
      <c r="O830" s="690"/>
      <c r="P830" s="690"/>
      <c r="Q830" s="690"/>
      <c r="R830" s="690"/>
      <c r="S830" s="690"/>
      <c r="T830" s="690"/>
      <c r="U830" s="690"/>
      <c r="V830" s="690"/>
      <c r="W830" s="690"/>
      <c r="X830" s="690"/>
      <c r="Y830" s="690"/>
      <c r="Z830" s="690"/>
      <c r="AA830" s="690"/>
      <c r="AB830" s="690"/>
      <c r="AC830" s="690"/>
      <c r="AD830" s="690"/>
      <c r="AE830" s="690"/>
    </row>
    <row r="831" spans="1:31" ht="15.75" customHeight="1">
      <c r="A831" s="690"/>
      <c r="B831" s="690"/>
      <c r="C831" s="690"/>
      <c r="D831" s="690"/>
      <c r="E831" s="690"/>
      <c r="F831" s="690"/>
      <c r="G831" s="690"/>
      <c r="H831" s="690"/>
      <c r="I831" s="690"/>
      <c r="J831" s="690"/>
      <c r="K831" s="690"/>
      <c r="L831" s="690"/>
      <c r="M831" s="690"/>
      <c r="N831" s="690"/>
      <c r="O831" s="690"/>
      <c r="P831" s="690"/>
      <c r="Q831" s="690"/>
      <c r="R831" s="690"/>
      <c r="S831" s="690"/>
      <c r="T831" s="690"/>
      <c r="U831" s="690"/>
      <c r="V831" s="690"/>
      <c r="W831" s="690"/>
      <c r="X831" s="690"/>
      <c r="Y831" s="690"/>
      <c r="Z831" s="690"/>
      <c r="AA831" s="690"/>
      <c r="AB831" s="690"/>
      <c r="AC831" s="690"/>
      <c r="AD831" s="690"/>
      <c r="AE831" s="690"/>
    </row>
    <row r="832" spans="1:31" ht="15.75" customHeight="1">
      <c r="A832" s="690"/>
      <c r="B832" s="690"/>
      <c r="C832" s="690"/>
      <c r="D832" s="690"/>
      <c r="E832" s="690"/>
      <c r="F832" s="690"/>
      <c r="G832" s="690"/>
      <c r="H832" s="690"/>
      <c r="I832" s="690"/>
      <c r="J832" s="690"/>
      <c r="K832" s="690"/>
      <c r="L832" s="690"/>
      <c r="M832" s="690"/>
      <c r="N832" s="690"/>
      <c r="O832" s="690"/>
      <c r="P832" s="690"/>
      <c r="Q832" s="690"/>
      <c r="R832" s="690"/>
      <c r="S832" s="690"/>
      <c r="T832" s="690"/>
      <c r="U832" s="690"/>
      <c r="V832" s="690"/>
      <c r="W832" s="690"/>
      <c r="X832" s="690"/>
      <c r="Y832" s="690"/>
      <c r="Z832" s="690"/>
      <c r="AA832" s="690"/>
      <c r="AB832" s="690"/>
      <c r="AC832" s="690"/>
      <c r="AD832" s="690"/>
      <c r="AE832" s="690"/>
    </row>
    <row r="833" spans="1:31" ht="15.75" customHeight="1">
      <c r="A833" s="690"/>
      <c r="B833" s="690"/>
      <c r="C833" s="690"/>
      <c r="D833" s="690"/>
      <c r="E833" s="690"/>
      <c r="F833" s="690"/>
      <c r="G833" s="690"/>
      <c r="H833" s="690"/>
      <c r="I833" s="690"/>
      <c r="J833" s="690"/>
      <c r="K833" s="690"/>
      <c r="L833" s="690"/>
      <c r="M833" s="690"/>
      <c r="N833" s="690"/>
      <c r="O833" s="690"/>
      <c r="P833" s="690"/>
      <c r="Q833" s="690"/>
      <c r="R833" s="690"/>
      <c r="S833" s="690"/>
      <c r="T833" s="690"/>
      <c r="U833" s="690"/>
      <c r="V833" s="690"/>
      <c r="W833" s="690"/>
      <c r="X833" s="690"/>
      <c r="Y833" s="690"/>
      <c r="Z833" s="690"/>
      <c r="AA833" s="690"/>
      <c r="AB833" s="690"/>
      <c r="AC833" s="690"/>
      <c r="AD833" s="690"/>
      <c r="AE833" s="690"/>
    </row>
    <row r="834" spans="1:31" ht="15.75" customHeight="1">
      <c r="A834" s="690"/>
      <c r="B834" s="690"/>
      <c r="C834" s="690"/>
      <c r="D834" s="690"/>
      <c r="E834" s="690"/>
      <c r="F834" s="690"/>
      <c r="G834" s="690"/>
      <c r="H834" s="690"/>
      <c r="I834" s="690"/>
      <c r="J834" s="690"/>
      <c r="K834" s="690"/>
      <c r="L834" s="690"/>
      <c r="M834" s="690"/>
      <c r="N834" s="690"/>
      <c r="O834" s="690"/>
      <c r="P834" s="690"/>
      <c r="Q834" s="690"/>
      <c r="R834" s="690"/>
      <c r="S834" s="690"/>
      <c r="T834" s="690"/>
      <c r="U834" s="690"/>
      <c r="V834" s="690"/>
      <c r="W834" s="690"/>
      <c r="X834" s="690"/>
      <c r="Y834" s="690"/>
      <c r="Z834" s="690"/>
      <c r="AA834" s="690"/>
      <c r="AB834" s="690"/>
      <c r="AC834" s="690"/>
      <c r="AD834" s="690"/>
      <c r="AE834" s="690"/>
    </row>
    <row r="835" spans="1:31" ht="15.75" customHeight="1">
      <c r="A835" s="690"/>
      <c r="B835" s="690"/>
      <c r="C835" s="690"/>
      <c r="D835" s="690"/>
      <c r="E835" s="690"/>
      <c r="F835" s="690"/>
      <c r="G835" s="690"/>
      <c r="H835" s="690"/>
      <c r="I835" s="690"/>
      <c r="J835" s="690"/>
      <c r="K835" s="690"/>
      <c r="L835" s="690"/>
      <c r="M835" s="690"/>
      <c r="N835" s="690"/>
      <c r="O835" s="690"/>
      <c r="P835" s="690"/>
      <c r="Q835" s="690"/>
      <c r="R835" s="690"/>
      <c r="S835" s="690"/>
      <c r="T835" s="690"/>
      <c r="U835" s="690"/>
      <c r="V835" s="690"/>
      <c r="W835" s="690"/>
      <c r="X835" s="690"/>
      <c r="Y835" s="690"/>
      <c r="Z835" s="690"/>
      <c r="AA835" s="690"/>
      <c r="AB835" s="690"/>
      <c r="AC835" s="690"/>
      <c r="AD835" s="690"/>
      <c r="AE835" s="690"/>
    </row>
    <row r="836" spans="1:31" ht="15.75" customHeight="1">
      <c r="A836" s="690"/>
      <c r="B836" s="690"/>
      <c r="C836" s="690"/>
      <c r="D836" s="690"/>
      <c r="E836" s="690"/>
      <c r="F836" s="690"/>
      <c r="G836" s="690"/>
      <c r="H836" s="690"/>
      <c r="I836" s="690"/>
      <c r="J836" s="690"/>
      <c r="K836" s="690"/>
      <c r="L836" s="690"/>
      <c r="M836" s="690"/>
      <c r="N836" s="690"/>
      <c r="O836" s="690"/>
      <c r="P836" s="690"/>
      <c r="Q836" s="690"/>
      <c r="R836" s="690"/>
      <c r="S836" s="690"/>
      <c r="T836" s="690"/>
      <c r="U836" s="690"/>
      <c r="V836" s="690"/>
      <c r="W836" s="690"/>
      <c r="X836" s="690"/>
      <c r="Y836" s="690"/>
      <c r="Z836" s="690"/>
      <c r="AA836" s="690"/>
      <c r="AB836" s="690"/>
      <c r="AC836" s="690"/>
      <c r="AD836" s="690"/>
      <c r="AE836" s="690"/>
    </row>
    <row r="837" spans="1:31" ht="15.75" customHeight="1">
      <c r="A837" s="690"/>
      <c r="B837" s="690"/>
      <c r="C837" s="690"/>
      <c r="D837" s="690"/>
      <c r="E837" s="690"/>
      <c r="F837" s="690"/>
      <c r="G837" s="690"/>
      <c r="H837" s="690"/>
      <c r="I837" s="690"/>
      <c r="J837" s="690"/>
      <c r="K837" s="690"/>
      <c r="L837" s="690"/>
      <c r="M837" s="690"/>
      <c r="N837" s="690"/>
      <c r="O837" s="690"/>
      <c r="P837" s="690"/>
      <c r="Q837" s="690"/>
      <c r="R837" s="690"/>
      <c r="S837" s="690"/>
      <c r="T837" s="690"/>
      <c r="U837" s="690"/>
      <c r="V837" s="690"/>
      <c r="W837" s="690"/>
      <c r="X837" s="690"/>
      <c r="Y837" s="690"/>
      <c r="Z837" s="690"/>
      <c r="AA837" s="690"/>
      <c r="AB837" s="690"/>
      <c r="AC837" s="690"/>
      <c r="AD837" s="690"/>
      <c r="AE837" s="690"/>
    </row>
    <row r="838" spans="1:31" ht="15.75" customHeight="1">
      <c r="A838" s="690"/>
      <c r="B838" s="690"/>
      <c r="C838" s="690"/>
      <c r="D838" s="690"/>
      <c r="E838" s="690"/>
      <c r="F838" s="690"/>
      <c r="G838" s="690"/>
      <c r="H838" s="690"/>
      <c r="I838" s="690"/>
      <c r="J838" s="690"/>
      <c r="K838" s="690"/>
      <c r="L838" s="690"/>
      <c r="M838" s="690"/>
      <c r="N838" s="690"/>
      <c r="O838" s="690"/>
      <c r="P838" s="690"/>
      <c r="Q838" s="690"/>
      <c r="R838" s="690"/>
      <c r="S838" s="690"/>
      <c r="T838" s="690"/>
      <c r="U838" s="690"/>
      <c r="V838" s="690"/>
      <c r="W838" s="690"/>
      <c r="X838" s="690"/>
      <c r="Y838" s="690"/>
      <c r="Z838" s="690"/>
      <c r="AA838" s="690"/>
      <c r="AB838" s="690"/>
      <c r="AC838" s="690"/>
      <c r="AD838" s="690"/>
      <c r="AE838" s="690"/>
    </row>
    <row r="839" spans="1:31" ht="15.75" customHeight="1">
      <c r="A839" s="690"/>
      <c r="B839" s="690"/>
      <c r="C839" s="690"/>
      <c r="D839" s="690"/>
      <c r="E839" s="690"/>
      <c r="F839" s="690"/>
      <c r="G839" s="690"/>
      <c r="H839" s="690"/>
      <c r="I839" s="690"/>
      <c r="J839" s="690"/>
      <c r="K839" s="690"/>
      <c r="L839" s="690"/>
      <c r="M839" s="690"/>
      <c r="N839" s="690"/>
      <c r="O839" s="690"/>
      <c r="P839" s="690"/>
      <c r="Q839" s="690"/>
      <c r="R839" s="690"/>
      <c r="S839" s="690"/>
      <c r="T839" s="690"/>
      <c r="U839" s="690"/>
      <c r="V839" s="690"/>
      <c r="W839" s="690"/>
      <c r="X839" s="690"/>
      <c r="Y839" s="690"/>
      <c r="Z839" s="690"/>
      <c r="AA839" s="690"/>
      <c r="AB839" s="690"/>
      <c r="AC839" s="690"/>
      <c r="AD839" s="690"/>
      <c r="AE839" s="690"/>
    </row>
    <row r="840" spans="1:31" ht="15.75" customHeight="1">
      <c r="A840" s="690"/>
      <c r="B840" s="690"/>
      <c r="C840" s="690"/>
      <c r="D840" s="690"/>
      <c r="E840" s="690"/>
      <c r="F840" s="690"/>
      <c r="G840" s="690"/>
      <c r="H840" s="690"/>
      <c r="I840" s="690"/>
      <c r="J840" s="690"/>
      <c r="K840" s="690"/>
      <c r="L840" s="690"/>
      <c r="M840" s="690"/>
      <c r="N840" s="690"/>
      <c r="O840" s="690"/>
      <c r="P840" s="690"/>
      <c r="Q840" s="690"/>
      <c r="R840" s="690"/>
      <c r="S840" s="690"/>
      <c r="T840" s="690"/>
      <c r="U840" s="690"/>
      <c r="V840" s="690"/>
      <c r="W840" s="690"/>
      <c r="X840" s="690"/>
      <c r="Y840" s="690"/>
      <c r="Z840" s="690"/>
      <c r="AA840" s="690"/>
      <c r="AB840" s="690"/>
      <c r="AC840" s="690"/>
      <c r="AD840" s="690"/>
      <c r="AE840" s="690"/>
    </row>
    <row r="841" spans="1:31" ht="15.75" customHeight="1">
      <c r="A841" s="690"/>
      <c r="B841" s="690"/>
      <c r="C841" s="690"/>
      <c r="D841" s="690"/>
      <c r="E841" s="690"/>
      <c r="F841" s="690"/>
      <c r="G841" s="690"/>
      <c r="H841" s="690"/>
      <c r="I841" s="690"/>
      <c r="J841" s="690"/>
      <c r="K841" s="690"/>
      <c r="L841" s="690"/>
      <c r="M841" s="690"/>
      <c r="N841" s="690"/>
      <c r="O841" s="690"/>
      <c r="P841" s="690"/>
      <c r="Q841" s="690"/>
      <c r="R841" s="690"/>
      <c r="S841" s="690"/>
      <c r="T841" s="690"/>
      <c r="U841" s="690"/>
      <c r="V841" s="690"/>
      <c r="W841" s="690"/>
      <c r="X841" s="690"/>
      <c r="Y841" s="690"/>
      <c r="Z841" s="690"/>
      <c r="AA841" s="690"/>
      <c r="AB841" s="690"/>
      <c r="AC841" s="690"/>
      <c r="AD841" s="690"/>
      <c r="AE841" s="690"/>
    </row>
    <row r="842" spans="1:31" ht="15.75" customHeight="1">
      <c r="A842" s="690"/>
      <c r="B842" s="690"/>
      <c r="C842" s="690"/>
      <c r="D842" s="690"/>
      <c r="E842" s="690"/>
      <c r="F842" s="690"/>
      <c r="G842" s="690"/>
      <c r="H842" s="690"/>
      <c r="I842" s="690"/>
      <c r="J842" s="690"/>
      <c r="K842" s="690"/>
      <c r="L842" s="690"/>
      <c r="M842" s="690"/>
      <c r="N842" s="690"/>
      <c r="O842" s="690"/>
      <c r="P842" s="690"/>
      <c r="Q842" s="690"/>
      <c r="R842" s="690"/>
      <c r="S842" s="690"/>
      <c r="T842" s="690"/>
      <c r="U842" s="690"/>
      <c r="V842" s="690"/>
      <c r="W842" s="690"/>
      <c r="X842" s="690"/>
      <c r="Y842" s="690"/>
      <c r="Z842" s="690"/>
      <c r="AA842" s="690"/>
      <c r="AB842" s="690"/>
      <c r="AC842" s="690"/>
      <c r="AD842" s="690"/>
      <c r="AE842" s="690"/>
    </row>
    <row r="843" spans="1:31" ht="15.75" customHeight="1">
      <c r="A843" s="690"/>
      <c r="B843" s="690"/>
      <c r="C843" s="690"/>
      <c r="D843" s="690"/>
      <c r="E843" s="690"/>
      <c r="F843" s="690"/>
      <c r="G843" s="690"/>
      <c r="H843" s="690"/>
      <c r="I843" s="690"/>
      <c r="J843" s="690"/>
      <c r="K843" s="690"/>
      <c r="L843" s="690"/>
      <c r="M843" s="690"/>
      <c r="N843" s="690"/>
      <c r="O843" s="690"/>
      <c r="P843" s="690"/>
      <c r="Q843" s="690"/>
      <c r="R843" s="690"/>
      <c r="S843" s="690"/>
      <c r="T843" s="690"/>
      <c r="U843" s="690"/>
      <c r="V843" s="690"/>
      <c r="W843" s="690"/>
      <c r="X843" s="690"/>
      <c r="Y843" s="690"/>
      <c r="Z843" s="690"/>
      <c r="AA843" s="690"/>
      <c r="AB843" s="690"/>
      <c r="AC843" s="690"/>
      <c r="AD843" s="690"/>
      <c r="AE843" s="690"/>
    </row>
    <row r="844" spans="1:31" ht="15.75" customHeight="1">
      <c r="A844" s="690"/>
      <c r="B844" s="690"/>
      <c r="C844" s="690"/>
      <c r="D844" s="690"/>
      <c r="E844" s="690"/>
      <c r="F844" s="690"/>
      <c r="G844" s="690"/>
      <c r="H844" s="690"/>
      <c r="I844" s="690"/>
      <c r="J844" s="690"/>
      <c r="K844" s="690"/>
      <c r="L844" s="690"/>
      <c r="M844" s="690"/>
      <c r="N844" s="690"/>
      <c r="O844" s="690"/>
      <c r="P844" s="690"/>
      <c r="Q844" s="690"/>
      <c r="R844" s="690"/>
      <c r="S844" s="690"/>
      <c r="T844" s="690"/>
      <c r="U844" s="690"/>
      <c r="V844" s="690"/>
      <c r="W844" s="690"/>
      <c r="X844" s="690"/>
      <c r="Y844" s="690"/>
      <c r="Z844" s="690"/>
      <c r="AA844" s="690"/>
      <c r="AB844" s="690"/>
      <c r="AC844" s="690"/>
      <c r="AD844" s="690"/>
      <c r="AE844" s="690"/>
    </row>
    <row r="845" spans="1:31" ht="15.75" customHeight="1">
      <c r="A845" s="690"/>
      <c r="B845" s="690"/>
      <c r="C845" s="690"/>
      <c r="D845" s="690"/>
      <c r="E845" s="690"/>
      <c r="F845" s="690"/>
      <c r="G845" s="690"/>
      <c r="H845" s="690"/>
      <c r="I845" s="690"/>
      <c r="J845" s="690"/>
      <c r="K845" s="690"/>
      <c r="L845" s="690"/>
      <c r="M845" s="690"/>
      <c r="N845" s="690"/>
      <c r="O845" s="690"/>
      <c r="P845" s="690"/>
      <c r="Q845" s="690"/>
      <c r="R845" s="690"/>
      <c r="S845" s="690"/>
      <c r="T845" s="690"/>
      <c r="U845" s="690"/>
      <c r="V845" s="690"/>
      <c r="W845" s="690"/>
      <c r="X845" s="690"/>
      <c r="Y845" s="690"/>
      <c r="Z845" s="690"/>
      <c r="AA845" s="690"/>
      <c r="AB845" s="690"/>
      <c r="AC845" s="690"/>
      <c r="AD845" s="690"/>
      <c r="AE845" s="690"/>
    </row>
    <row r="846" spans="1:31" ht="15.75" customHeight="1">
      <c r="A846" s="690"/>
      <c r="B846" s="690"/>
      <c r="C846" s="690"/>
      <c r="D846" s="690"/>
      <c r="E846" s="690"/>
      <c r="F846" s="690"/>
      <c r="G846" s="690"/>
      <c r="H846" s="690"/>
      <c r="I846" s="690"/>
      <c r="J846" s="690"/>
      <c r="K846" s="690"/>
      <c r="L846" s="690"/>
      <c r="M846" s="690"/>
      <c r="N846" s="690"/>
      <c r="O846" s="690"/>
      <c r="P846" s="690"/>
      <c r="Q846" s="690"/>
      <c r="R846" s="690"/>
      <c r="S846" s="690"/>
      <c r="T846" s="690"/>
      <c r="U846" s="690"/>
      <c r="V846" s="690"/>
      <c r="W846" s="690"/>
      <c r="X846" s="690"/>
      <c r="Y846" s="690"/>
      <c r="Z846" s="690"/>
      <c r="AA846" s="690"/>
      <c r="AB846" s="690"/>
      <c r="AC846" s="690"/>
      <c r="AD846" s="690"/>
      <c r="AE846" s="690"/>
    </row>
    <row r="847" spans="1:31" ht="15.75" customHeight="1">
      <c r="A847" s="690"/>
      <c r="B847" s="690"/>
      <c r="C847" s="690"/>
      <c r="D847" s="690"/>
      <c r="E847" s="690"/>
      <c r="F847" s="690"/>
      <c r="G847" s="690"/>
      <c r="H847" s="690"/>
      <c r="I847" s="690"/>
      <c r="J847" s="690"/>
      <c r="K847" s="690"/>
      <c r="L847" s="690"/>
      <c r="M847" s="690"/>
      <c r="N847" s="690"/>
      <c r="O847" s="690"/>
      <c r="P847" s="690"/>
      <c r="Q847" s="690"/>
      <c r="R847" s="690"/>
      <c r="S847" s="690"/>
      <c r="T847" s="690"/>
      <c r="U847" s="690"/>
      <c r="V847" s="690"/>
      <c r="W847" s="690"/>
      <c r="X847" s="690"/>
      <c r="Y847" s="690"/>
      <c r="Z847" s="690"/>
      <c r="AA847" s="690"/>
      <c r="AB847" s="690"/>
      <c r="AC847" s="690"/>
      <c r="AD847" s="690"/>
      <c r="AE847" s="690"/>
    </row>
    <row r="848" spans="1:31" ht="15.75" customHeight="1">
      <c r="A848" s="690"/>
      <c r="B848" s="690"/>
      <c r="C848" s="690"/>
      <c r="D848" s="690"/>
      <c r="E848" s="690"/>
      <c r="F848" s="690"/>
      <c r="G848" s="690"/>
      <c r="H848" s="690"/>
      <c r="I848" s="690"/>
      <c r="J848" s="690"/>
      <c r="K848" s="690"/>
      <c r="L848" s="690"/>
      <c r="M848" s="690"/>
      <c r="N848" s="690"/>
      <c r="O848" s="690"/>
      <c r="P848" s="690"/>
      <c r="Q848" s="690"/>
      <c r="R848" s="690"/>
      <c r="S848" s="690"/>
      <c r="T848" s="690"/>
      <c r="U848" s="690"/>
      <c r="V848" s="690"/>
      <c r="W848" s="690"/>
      <c r="X848" s="690"/>
      <c r="Y848" s="690"/>
      <c r="Z848" s="690"/>
      <c r="AA848" s="690"/>
      <c r="AB848" s="690"/>
      <c r="AC848" s="690"/>
      <c r="AD848" s="690"/>
      <c r="AE848" s="690"/>
    </row>
    <row r="849" spans="1:31" ht="15.75" customHeight="1">
      <c r="A849" s="690"/>
      <c r="B849" s="690"/>
      <c r="C849" s="690"/>
      <c r="D849" s="690"/>
      <c r="E849" s="690"/>
      <c r="F849" s="690"/>
      <c r="G849" s="690"/>
      <c r="H849" s="690"/>
      <c r="I849" s="690"/>
      <c r="J849" s="690"/>
      <c r="K849" s="690"/>
      <c r="L849" s="690"/>
      <c r="M849" s="690"/>
      <c r="N849" s="690"/>
      <c r="O849" s="690"/>
      <c r="P849" s="690"/>
      <c r="Q849" s="690"/>
      <c r="R849" s="690"/>
      <c r="S849" s="690"/>
      <c r="T849" s="690"/>
      <c r="U849" s="690"/>
      <c r="V849" s="690"/>
      <c r="W849" s="690"/>
      <c r="X849" s="690"/>
      <c r="Y849" s="690"/>
      <c r="Z849" s="690"/>
      <c r="AA849" s="690"/>
      <c r="AB849" s="690"/>
      <c r="AC849" s="690"/>
      <c r="AD849" s="690"/>
      <c r="AE849" s="690"/>
    </row>
    <row r="850" spans="1:31" ht="15.75" customHeight="1">
      <c r="A850" s="690"/>
      <c r="B850" s="690"/>
      <c r="C850" s="690"/>
      <c r="D850" s="690"/>
      <c r="E850" s="690"/>
      <c r="F850" s="690"/>
      <c r="G850" s="690"/>
      <c r="H850" s="690"/>
      <c r="I850" s="690"/>
      <c r="J850" s="690"/>
      <c r="K850" s="690"/>
      <c r="L850" s="690"/>
      <c r="M850" s="690"/>
      <c r="N850" s="690"/>
      <c r="O850" s="690"/>
      <c r="P850" s="690"/>
      <c r="Q850" s="690"/>
      <c r="R850" s="690"/>
      <c r="S850" s="690"/>
      <c r="T850" s="690"/>
      <c r="U850" s="690"/>
      <c r="V850" s="690"/>
      <c r="W850" s="690"/>
      <c r="X850" s="690"/>
      <c r="Y850" s="690"/>
      <c r="Z850" s="690"/>
      <c r="AA850" s="690"/>
      <c r="AB850" s="690"/>
      <c r="AC850" s="690"/>
      <c r="AD850" s="690"/>
      <c r="AE850" s="690"/>
    </row>
    <row r="851" spans="1:31" ht="15.75" customHeight="1">
      <c r="A851" s="690"/>
      <c r="B851" s="690"/>
      <c r="C851" s="690"/>
      <c r="D851" s="690"/>
      <c r="E851" s="690"/>
      <c r="F851" s="690"/>
      <c r="G851" s="690"/>
      <c r="H851" s="690"/>
      <c r="I851" s="690"/>
      <c r="J851" s="690"/>
      <c r="K851" s="690"/>
      <c r="L851" s="690"/>
      <c r="M851" s="690"/>
      <c r="N851" s="690"/>
      <c r="O851" s="690"/>
      <c r="P851" s="690"/>
      <c r="Q851" s="690"/>
      <c r="R851" s="690"/>
      <c r="S851" s="690"/>
      <c r="T851" s="690"/>
      <c r="U851" s="690"/>
      <c r="V851" s="690"/>
      <c r="W851" s="690"/>
      <c r="X851" s="690"/>
      <c r="Y851" s="690"/>
      <c r="Z851" s="690"/>
      <c r="AA851" s="690"/>
      <c r="AB851" s="690"/>
      <c r="AC851" s="690"/>
      <c r="AD851" s="690"/>
      <c r="AE851" s="690"/>
    </row>
    <row r="852" spans="1:31" ht="15.75" customHeight="1">
      <c r="A852" s="690"/>
      <c r="B852" s="690"/>
      <c r="C852" s="690"/>
      <c r="D852" s="690"/>
      <c r="E852" s="690"/>
      <c r="F852" s="690"/>
      <c r="G852" s="690"/>
      <c r="H852" s="690"/>
      <c r="I852" s="690"/>
      <c r="J852" s="690"/>
      <c r="K852" s="690"/>
      <c r="L852" s="690"/>
      <c r="M852" s="690"/>
      <c r="N852" s="690"/>
      <c r="O852" s="690"/>
      <c r="P852" s="690"/>
      <c r="Q852" s="690"/>
      <c r="R852" s="690"/>
      <c r="S852" s="690"/>
      <c r="T852" s="690"/>
      <c r="U852" s="690"/>
      <c r="V852" s="690"/>
      <c r="W852" s="690"/>
      <c r="X852" s="690"/>
      <c r="Y852" s="690"/>
      <c r="Z852" s="690"/>
      <c r="AA852" s="690"/>
      <c r="AB852" s="690"/>
      <c r="AC852" s="690"/>
      <c r="AD852" s="690"/>
      <c r="AE852" s="690"/>
    </row>
    <row r="853" spans="1:31" ht="15.75" customHeight="1">
      <c r="A853" s="690"/>
      <c r="B853" s="690"/>
      <c r="C853" s="690"/>
      <c r="D853" s="690"/>
      <c r="E853" s="690"/>
      <c r="F853" s="690"/>
      <c r="G853" s="690"/>
      <c r="H853" s="690"/>
      <c r="I853" s="690"/>
      <c r="J853" s="690"/>
      <c r="K853" s="690"/>
      <c r="L853" s="690"/>
      <c r="M853" s="690"/>
      <c r="N853" s="690"/>
      <c r="O853" s="690"/>
      <c r="P853" s="690"/>
      <c r="Q853" s="690"/>
      <c r="R853" s="690"/>
      <c r="S853" s="690"/>
      <c r="T853" s="690"/>
      <c r="U853" s="690"/>
      <c r="V853" s="690"/>
      <c r="W853" s="690"/>
      <c r="X853" s="690"/>
      <c r="Y853" s="690"/>
      <c r="Z853" s="690"/>
      <c r="AA853" s="690"/>
      <c r="AB853" s="690"/>
      <c r="AC853" s="690"/>
      <c r="AD853" s="690"/>
      <c r="AE853" s="690"/>
    </row>
    <row r="854" spans="1:31" ht="15.75" customHeight="1">
      <c r="A854" s="690"/>
      <c r="B854" s="690"/>
      <c r="C854" s="690"/>
      <c r="D854" s="690"/>
      <c r="E854" s="690"/>
      <c r="F854" s="690"/>
      <c r="G854" s="690"/>
      <c r="H854" s="690"/>
      <c r="I854" s="690"/>
      <c r="J854" s="690"/>
      <c r="K854" s="690"/>
      <c r="L854" s="690"/>
      <c r="M854" s="690"/>
      <c r="N854" s="690"/>
      <c r="O854" s="690"/>
      <c r="P854" s="690"/>
      <c r="Q854" s="690"/>
      <c r="R854" s="690"/>
      <c r="S854" s="690"/>
      <c r="T854" s="690"/>
      <c r="U854" s="690"/>
      <c r="V854" s="690"/>
      <c r="W854" s="690"/>
      <c r="X854" s="690"/>
      <c r="Y854" s="690"/>
      <c r="Z854" s="690"/>
      <c r="AA854" s="690"/>
      <c r="AB854" s="690"/>
      <c r="AC854" s="690"/>
      <c r="AD854" s="690"/>
      <c r="AE854" s="690"/>
    </row>
    <row r="855" spans="1:31" ht="15.75" customHeight="1">
      <c r="A855" s="690"/>
      <c r="B855" s="690"/>
      <c r="C855" s="690"/>
      <c r="D855" s="690"/>
      <c r="E855" s="690"/>
      <c r="F855" s="690"/>
      <c r="G855" s="690"/>
      <c r="H855" s="690"/>
      <c r="I855" s="690"/>
      <c r="J855" s="690"/>
      <c r="K855" s="690"/>
      <c r="L855" s="690"/>
      <c r="M855" s="690"/>
      <c r="N855" s="690"/>
      <c r="O855" s="690"/>
      <c r="P855" s="690"/>
      <c r="Q855" s="690"/>
      <c r="R855" s="690"/>
      <c r="S855" s="690"/>
      <c r="T855" s="690"/>
      <c r="U855" s="690"/>
      <c r="V855" s="690"/>
      <c r="W855" s="690"/>
      <c r="X855" s="690"/>
      <c r="Y855" s="690"/>
      <c r="Z855" s="690"/>
      <c r="AA855" s="690"/>
      <c r="AB855" s="690"/>
      <c r="AC855" s="690"/>
      <c r="AD855" s="690"/>
      <c r="AE855" s="690"/>
    </row>
    <row r="856" spans="1:31" ht="15.75" customHeight="1">
      <c r="A856" s="690"/>
      <c r="B856" s="690"/>
      <c r="C856" s="690"/>
      <c r="D856" s="690"/>
      <c r="E856" s="690"/>
      <c r="F856" s="690"/>
      <c r="G856" s="690"/>
      <c r="H856" s="690"/>
      <c r="I856" s="690"/>
      <c r="J856" s="690"/>
      <c r="K856" s="690"/>
      <c r="L856" s="690"/>
      <c r="M856" s="690"/>
      <c r="N856" s="690"/>
      <c r="O856" s="690"/>
      <c r="P856" s="690"/>
      <c r="Q856" s="690"/>
      <c r="R856" s="690"/>
      <c r="S856" s="690"/>
      <c r="T856" s="690"/>
      <c r="U856" s="690"/>
      <c r="V856" s="690"/>
      <c r="W856" s="690"/>
      <c r="X856" s="690"/>
      <c r="Y856" s="690"/>
      <c r="Z856" s="690"/>
      <c r="AA856" s="690"/>
      <c r="AB856" s="690"/>
      <c r="AC856" s="690"/>
      <c r="AD856" s="690"/>
      <c r="AE856" s="690"/>
    </row>
    <row r="857" spans="1:31" ht="15.75" customHeight="1">
      <c r="A857" s="690"/>
      <c r="B857" s="690"/>
      <c r="C857" s="690"/>
      <c r="D857" s="690"/>
      <c r="E857" s="690"/>
      <c r="F857" s="690"/>
      <c r="G857" s="690"/>
      <c r="H857" s="690"/>
      <c r="I857" s="690"/>
      <c r="J857" s="690"/>
      <c r="K857" s="690"/>
      <c r="L857" s="690"/>
      <c r="M857" s="690"/>
      <c r="N857" s="690"/>
      <c r="O857" s="690"/>
      <c r="P857" s="690"/>
      <c r="Q857" s="690"/>
      <c r="R857" s="690"/>
      <c r="S857" s="690"/>
      <c r="T857" s="690"/>
      <c r="U857" s="690"/>
      <c r="V857" s="690"/>
      <c r="W857" s="690"/>
      <c r="X857" s="690"/>
      <c r="Y857" s="690"/>
      <c r="Z857" s="690"/>
      <c r="AA857" s="690"/>
      <c r="AB857" s="690"/>
      <c r="AC857" s="690"/>
      <c r="AD857" s="690"/>
      <c r="AE857" s="690"/>
    </row>
    <row r="858" spans="1:31" ht="15.75" customHeight="1">
      <c r="A858" s="690"/>
      <c r="B858" s="690"/>
      <c r="C858" s="690"/>
      <c r="D858" s="690"/>
      <c r="E858" s="690"/>
      <c r="F858" s="690"/>
      <c r="G858" s="690"/>
      <c r="H858" s="690"/>
      <c r="I858" s="690"/>
      <c r="J858" s="690"/>
      <c r="K858" s="690"/>
      <c r="L858" s="690"/>
      <c r="M858" s="690"/>
      <c r="N858" s="690"/>
      <c r="O858" s="690"/>
      <c r="P858" s="690"/>
      <c r="Q858" s="690"/>
      <c r="R858" s="690"/>
      <c r="S858" s="690"/>
      <c r="T858" s="690"/>
      <c r="U858" s="690"/>
      <c r="V858" s="690"/>
      <c r="W858" s="690"/>
      <c r="X858" s="690"/>
      <c r="Y858" s="690"/>
      <c r="Z858" s="690"/>
      <c r="AA858" s="690"/>
      <c r="AB858" s="690"/>
      <c r="AC858" s="690"/>
      <c r="AD858" s="690"/>
      <c r="AE858" s="690"/>
    </row>
    <row r="859" spans="1:31" ht="15.75" customHeight="1">
      <c r="A859" s="690"/>
      <c r="B859" s="690"/>
      <c r="C859" s="690"/>
      <c r="D859" s="690"/>
      <c r="E859" s="690"/>
      <c r="F859" s="690"/>
      <c r="G859" s="690"/>
      <c r="H859" s="690"/>
      <c r="I859" s="690"/>
      <c r="J859" s="690"/>
      <c r="K859" s="690"/>
      <c r="L859" s="690"/>
      <c r="M859" s="690"/>
      <c r="N859" s="690"/>
      <c r="O859" s="690"/>
      <c r="P859" s="690"/>
      <c r="Q859" s="690"/>
      <c r="R859" s="690"/>
      <c r="S859" s="690"/>
      <c r="T859" s="690"/>
      <c r="U859" s="690"/>
      <c r="V859" s="690"/>
      <c r="W859" s="690"/>
      <c r="X859" s="690"/>
      <c r="Y859" s="690"/>
      <c r="Z859" s="690"/>
      <c r="AA859" s="690"/>
      <c r="AB859" s="690"/>
      <c r="AC859" s="690"/>
      <c r="AD859" s="690"/>
      <c r="AE859" s="690"/>
    </row>
    <row r="860" spans="1:31" ht="15.75" customHeight="1">
      <c r="A860" s="690"/>
      <c r="B860" s="690"/>
      <c r="C860" s="690"/>
      <c r="D860" s="690"/>
      <c r="E860" s="690"/>
      <c r="F860" s="690"/>
      <c r="G860" s="690"/>
      <c r="H860" s="690"/>
      <c r="I860" s="690"/>
      <c r="J860" s="690"/>
      <c r="K860" s="690"/>
      <c r="L860" s="690"/>
      <c r="M860" s="690"/>
      <c r="N860" s="690"/>
      <c r="O860" s="690"/>
      <c r="P860" s="690"/>
      <c r="Q860" s="690"/>
      <c r="R860" s="690"/>
      <c r="S860" s="690"/>
      <c r="T860" s="690"/>
      <c r="U860" s="690"/>
      <c r="V860" s="690"/>
      <c r="W860" s="690"/>
      <c r="X860" s="690"/>
      <c r="Y860" s="690"/>
      <c r="Z860" s="690"/>
      <c r="AA860" s="690"/>
      <c r="AB860" s="690"/>
      <c r="AC860" s="690"/>
      <c r="AD860" s="690"/>
      <c r="AE860" s="690"/>
    </row>
    <row r="861" spans="1:31" ht="15.75" customHeight="1">
      <c r="A861" s="690"/>
      <c r="B861" s="690"/>
      <c r="C861" s="690"/>
      <c r="D861" s="690"/>
      <c r="E861" s="690"/>
      <c r="F861" s="690"/>
      <c r="G861" s="690"/>
      <c r="H861" s="690"/>
      <c r="I861" s="690"/>
      <c r="J861" s="690"/>
      <c r="K861" s="690"/>
      <c r="L861" s="690"/>
      <c r="M861" s="690"/>
      <c r="N861" s="690"/>
      <c r="O861" s="690"/>
      <c r="P861" s="690"/>
      <c r="Q861" s="690"/>
      <c r="R861" s="690"/>
      <c r="S861" s="690"/>
      <c r="T861" s="690"/>
      <c r="U861" s="690"/>
      <c r="V861" s="690"/>
      <c r="W861" s="690"/>
      <c r="X861" s="690"/>
      <c r="Y861" s="690"/>
      <c r="Z861" s="690"/>
      <c r="AA861" s="690"/>
      <c r="AB861" s="690"/>
      <c r="AC861" s="690"/>
      <c r="AD861" s="690"/>
      <c r="AE861" s="690"/>
    </row>
    <row r="862" spans="1:31" ht="15.75" customHeight="1">
      <c r="A862" s="690"/>
      <c r="B862" s="690"/>
      <c r="C862" s="690"/>
      <c r="D862" s="690"/>
      <c r="E862" s="690"/>
      <c r="F862" s="690"/>
      <c r="G862" s="690"/>
      <c r="H862" s="690"/>
      <c r="I862" s="690"/>
      <c r="J862" s="690"/>
      <c r="K862" s="690"/>
      <c r="L862" s="690"/>
      <c r="M862" s="690"/>
      <c r="N862" s="690"/>
      <c r="O862" s="690"/>
      <c r="P862" s="690"/>
      <c r="Q862" s="690"/>
      <c r="R862" s="690"/>
      <c r="S862" s="690"/>
      <c r="T862" s="690"/>
      <c r="U862" s="690"/>
      <c r="V862" s="690"/>
      <c r="W862" s="690"/>
      <c r="X862" s="690"/>
      <c r="Y862" s="690"/>
      <c r="Z862" s="690"/>
      <c r="AA862" s="690"/>
      <c r="AB862" s="690"/>
      <c r="AC862" s="690"/>
      <c r="AD862" s="690"/>
      <c r="AE862" s="690"/>
    </row>
    <row r="863" spans="1:31" ht="15.75" customHeight="1">
      <c r="A863" s="690"/>
      <c r="B863" s="690"/>
      <c r="C863" s="690"/>
      <c r="D863" s="690"/>
      <c r="E863" s="690"/>
      <c r="F863" s="690"/>
      <c r="G863" s="690"/>
      <c r="H863" s="690"/>
      <c r="I863" s="690"/>
      <c r="J863" s="690"/>
      <c r="K863" s="690"/>
      <c r="L863" s="690"/>
      <c r="M863" s="690"/>
      <c r="N863" s="690"/>
      <c r="O863" s="690"/>
      <c r="P863" s="690"/>
      <c r="Q863" s="690"/>
      <c r="R863" s="690"/>
      <c r="S863" s="690"/>
      <c r="T863" s="690"/>
      <c r="U863" s="690"/>
      <c r="V863" s="690"/>
      <c r="W863" s="690"/>
      <c r="X863" s="690"/>
      <c r="Y863" s="690"/>
      <c r="Z863" s="690"/>
      <c r="AA863" s="690"/>
      <c r="AB863" s="690"/>
      <c r="AC863" s="690"/>
      <c r="AD863" s="690"/>
      <c r="AE863" s="690"/>
    </row>
    <row r="864" spans="1:31" ht="15.75" customHeight="1">
      <c r="A864" s="690"/>
      <c r="B864" s="690"/>
      <c r="C864" s="690"/>
      <c r="D864" s="690"/>
      <c r="E864" s="690"/>
      <c r="F864" s="690"/>
      <c r="G864" s="690"/>
      <c r="H864" s="690"/>
      <c r="I864" s="690"/>
      <c r="J864" s="690"/>
      <c r="K864" s="690"/>
      <c r="L864" s="690"/>
      <c r="M864" s="690"/>
      <c r="N864" s="690"/>
      <c r="O864" s="690"/>
      <c r="P864" s="690"/>
      <c r="Q864" s="690"/>
      <c r="R864" s="690"/>
      <c r="S864" s="690"/>
      <c r="T864" s="690"/>
      <c r="U864" s="690"/>
      <c r="V864" s="690"/>
      <c r="W864" s="690"/>
      <c r="X864" s="690"/>
      <c r="Y864" s="690"/>
      <c r="Z864" s="690"/>
      <c r="AA864" s="690"/>
      <c r="AB864" s="690"/>
      <c r="AC864" s="690"/>
      <c r="AD864" s="690"/>
      <c r="AE864" s="690"/>
    </row>
    <row r="865" spans="1:31" ht="15.75" customHeight="1">
      <c r="A865" s="690"/>
      <c r="B865" s="690"/>
      <c r="C865" s="690"/>
      <c r="D865" s="690"/>
      <c r="E865" s="690"/>
      <c r="F865" s="690"/>
      <c r="G865" s="690"/>
      <c r="H865" s="690"/>
      <c r="I865" s="690"/>
      <c r="J865" s="690"/>
      <c r="K865" s="690"/>
      <c r="L865" s="690"/>
      <c r="M865" s="690"/>
      <c r="N865" s="690"/>
      <c r="O865" s="690"/>
      <c r="P865" s="690"/>
      <c r="Q865" s="690"/>
      <c r="R865" s="690"/>
      <c r="S865" s="690"/>
      <c r="T865" s="690"/>
      <c r="U865" s="690"/>
      <c r="V865" s="690"/>
      <c r="W865" s="690"/>
      <c r="X865" s="690"/>
      <c r="Y865" s="690"/>
      <c r="Z865" s="690"/>
      <c r="AA865" s="690"/>
      <c r="AB865" s="690"/>
      <c r="AC865" s="690"/>
      <c r="AD865" s="690"/>
      <c r="AE865" s="690"/>
    </row>
    <row r="866" spans="1:31" ht="15.75" customHeight="1">
      <c r="A866" s="690"/>
      <c r="B866" s="690"/>
      <c r="C866" s="690"/>
      <c r="D866" s="690"/>
      <c r="E866" s="690"/>
      <c r="F866" s="690"/>
      <c r="G866" s="690"/>
      <c r="H866" s="690"/>
      <c r="I866" s="690"/>
      <c r="J866" s="690"/>
      <c r="K866" s="690"/>
      <c r="L866" s="690"/>
      <c r="M866" s="690"/>
      <c r="N866" s="690"/>
      <c r="O866" s="690"/>
      <c r="P866" s="690"/>
      <c r="Q866" s="690"/>
      <c r="R866" s="690"/>
      <c r="S866" s="690"/>
      <c r="T866" s="690"/>
      <c r="U866" s="690"/>
      <c r="V866" s="690"/>
      <c r="W866" s="690"/>
      <c r="X866" s="690"/>
      <c r="Y866" s="690"/>
      <c r="Z866" s="690"/>
      <c r="AA866" s="690"/>
      <c r="AB866" s="690"/>
      <c r="AC866" s="690"/>
      <c r="AD866" s="690"/>
      <c r="AE866" s="690"/>
    </row>
    <row r="867" spans="1:31" ht="15.75" customHeight="1">
      <c r="A867" s="690"/>
      <c r="B867" s="690"/>
      <c r="C867" s="690"/>
      <c r="D867" s="690"/>
      <c r="E867" s="690"/>
      <c r="F867" s="690"/>
      <c r="G867" s="690"/>
      <c r="H867" s="690"/>
      <c r="I867" s="690"/>
      <c r="J867" s="690"/>
      <c r="K867" s="690"/>
      <c r="L867" s="690"/>
      <c r="M867" s="690"/>
      <c r="N867" s="690"/>
      <c r="O867" s="690"/>
      <c r="P867" s="690"/>
      <c r="Q867" s="690"/>
      <c r="R867" s="690"/>
      <c r="S867" s="690"/>
      <c r="T867" s="690"/>
      <c r="U867" s="690"/>
      <c r="V867" s="690"/>
      <c r="W867" s="690"/>
      <c r="X867" s="690"/>
      <c r="Y867" s="690"/>
      <c r="Z867" s="690"/>
      <c r="AA867" s="690"/>
      <c r="AB867" s="690"/>
      <c r="AC867" s="690"/>
      <c r="AD867" s="690"/>
      <c r="AE867" s="690"/>
    </row>
    <row r="868" spans="1:31" ht="15.75" customHeight="1">
      <c r="A868" s="690"/>
      <c r="B868" s="690"/>
      <c r="C868" s="690"/>
      <c r="D868" s="690"/>
      <c r="E868" s="690"/>
      <c r="F868" s="690"/>
      <c r="G868" s="690"/>
      <c r="H868" s="690"/>
      <c r="I868" s="690"/>
      <c r="J868" s="690"/>
      <c r="K868" s="690"/>
      <c r="L868" s="690"/>
      <c r="M868" s="690"/>
      <c r="N868" s="690"/>
      <c r="O868" s="690"/>
      <c r="P868" s="690"/>
      <c r="Q868" s="690"/>
      <c r="R868" s="690"/>
      <c r="S868" s="690"/>
      <c r="T868" s="690"/>
      <c r="U868" s="690"/>
      <c r="V868" s="690"/>
      <c r="W868" s="690"/>
      <c r="X868" s="690"/>
      <c r="Y868" s="690"/>
      <c r="Z868" s="690"/>
      <c r="AA868" s="690"/>
      <c r="AB868" s="690"/>
      <c r="AC868" s="690"/>
      <c r="AD868" s="690"/>
      <c r="AE868" s="690"/>
    </row>
    <row r="869" spans="1:31" ht="15.75" customHeight="1">
      <c r="A869" s="690"/>
      <c r="B869" s="690"/>
      <c r="C869" s="690"/>
      <c r="D869" s="690"/>
      <c r="E869" s="690"/>
      <c r="F869" s="690"/>
      <c r="G869" s="690"/>
      <c r="H869" s="690"/>
      <c r="I869" s="690"/>
      <c r="J869" s="690"/>
      <c r="K869" s="690"/>
      <c r="L869" s="690"/>
      <c r="M869" s="690"/>
      <c r="N869" s="690"/>
      <c r="O869" s="690"/>
      <c r="P869" s="690"/>
      <c r="Q869" s="690"/>
      <c r="R869" s="690"/>
      <c r="S869" s="690"/>
      <c r="T869" s="690"/>
      <c r="U869" s="690"/>
      <c r="V869" s="690"/>
      <c r="W869" s="690"/>
      <c r="X869" s="690"/>
      <c r="Y869" s="690"/>
      <c r="Z869" s="690"/>
      <c r="AA869" s="690"/>
      <c r="AB869" s="690"/>
      <c r="AC869" s="690"/>
      <c r="AD869" s="690"/>
      <c r="AE869" s="690"/>
    </row>
    <row r="870" spans="1:31" ht="15.75" customHeight="1">
      <c r="A870" s="690"/>
      <c r="B870" s="690"/>
      <c r="C870" s="690"/>
      <c r="D870" s="690"/>
      <c r="E870" s="690"/>
      <c r="F870" s="690"/>
      <c r="G870" s="690"/>
      <c r="H870" s="690"/>
      <c r="I870" s="690"/>
      <c r="J870" s="690"/>
      <c r="K870" s="690"/>
      <c r="L870" s="690"/>
      <c r="M870" s="690"/>
      <c r="N870" s="690"/>
      <c r="O870" s="690"/>
      <c r="P870" s="690"/>
      <c r="Q870" s="690"/>
      <c r="R870" s="690"/>
      <c r="S870" s="690"/>
      <c r="T870" s="690"/>
      <c r="U870" s="690"/>
      <c r="V870" s="690"/>
      <c r="W870" s="690"/>
      <c r="X870" s="690"/>
      <c r="Y870" s="690"/>
      <c r="Z870" s="690"/>
      <c r="AA870" s="690"/>
      <c r="AB870" s="690"/>
      <c r="AC870" s="690"/>
      <c r="AD870" s="690"/>
      <c r="AE870" s="690"/>
    </row>
    <row r="871" spans="1:31" ht="15.75" customHeight="1">
      <c r="A871" s="690"/>
      <c r="B871" s="690"/>
      <c r="C871" s="690"/>
      <c r="D871" s="690"/>
      <c r="E871" s="690"/>
      <c r="F871" s="690"/>
      <c r="G871" s="690"/>
      <c r="H871" s="690"/>
      <c r="I871" s="690"/>
      <c r="J871" s="690"/>
      <c r="K871" s="690"/>
      <c r="L871" s="690"/>
      <c r="M871" s="690"/>
      <c r="N871" s="690"/>
      <c r="O871" s="690"/>
      <c r="P871" s="690"/>
      <c r="Q871" s="690"/>
      <c r="R871" s="690"/>
      <c r="S871" s="690"/>
      <c r="T871" s="690"/>
      <c r="U871" s="690"/>
      <c r="V871" s="690"/>
      <c r="W871" s="690"/>
      <c r="X871" s="690"/>
      <c r="Y871" s="690"/>
      <c r="Z871" s="690"/>
      <c r="AA871" s="690"/>
      <c r="AB871" s="690"/>
      <c r="AC871" s="690"/>
      <c r="AD871" s="690"/>
      <c r="AE871" s="690"/>
    </row>
    <row r="872" spans="1:31" ht="15.75" customHeight="1">
      <c r="A872" s="690"/>
      <c r="B872" s="690"/>
      <c r="C872" s="690"/>
      <c r="D872" s="690"/>
      <c r="E872" s="690"/>
      <c r="F872" s="690"/>
      <c r="G872" s="690"/>
      <c r="H872" s="690"/>
      <c r="I872" s="690"/>
      <c r="J872" s="690"/>
      <c r="K872" s="690"/>
      <c r="L872" s="690"/>
      <c r="M872" s="690"/>
      <c r="N872" s="690"/>
      <c r="O872" s="690"/>
      <c r="P872" s="690"/>
      <c r="Q872" s="690"/>
      <c r="R872" s="690"/>
      <c r="S872" s="690"/>
      <c r="T872" s="690"/>
      <c r="U872" s="690"/>
      <c r="V872" s="690"/>
      <c r="W872" s="690"/>
      <c r="X872" s="690"/>
      <c r="Y872" s="690"/>
      <c r="Z872" s="690"/>
      <c r="AA872" s="690"/>
      <c r="AB872" s="690"/>
      <c r="AC872" s="690"/>
      <c r="AD872" s="690"/>
      <c r="AE872" s="690"/>
    </row>
    <row r="873" spans="1:31" ht="15.75" customHeight="1">
      <c r="A873" s="690"/>
      <c r="B873" s="690"/>
      <c r="C873" s="690"/>
      <c r="D873" s="690"/>
      <c r="E873" s="690"/>
      <c r="F873" s="690"/>
      <c r="G873" s="690"/>
      <c r="H873" s="690"/>
      <c r="I873" s="690"/>
      <c r="J873" s="690"/>
      <c r="K873" s="690"/>
      <c r="L873" s="690"/>
      <c r="M873" s="690"/>
      <c r="N873" s="690"/>
      <c r="O873" s="690"/>
      <c r="P873" s="690"/>
      <c r="Q873" s="690"/>
      <c r="R873" s="690"/>
      <c r="S873" s="690"/>
      <c r="T873" s="690"/>
      <c r="U873" s="690"/>
      <c r="V873" s="690"/>
      <c r="W873" s="690"/>
      <c r="X873" s="690"/>
      <c r="Y873" s="690"/>
      <c r="Z873" s="690"/>
      <c r="AA873" s="690"/>
      <c r="AB873" s="690"/>
      <c r="AC873" s="690"/>
      <c r="AD873" s="690"/>
      <c r="AE873" s="690"/>
    </row>
    <row r="874" spans="1:31" ht="15.75" customHeight="1">
      <c r="A874" s="690"/>
      <c r="B874" s="690"/>
      <c r="C874" s="690"/>
      <c r="D874" s="690"/>
      <c r="E874" s="690"/>
      <c r="F874" s="690"/>
      <c r="G874" s="690"/>
      <c r="H874" s="690"/>
      <c r="I874" s="690"/>
      <c r="J874" s="690"/>
      <c r="K874" s="690"/>
      <c r="L874" s="690"/>
      <c r="M874" s="690"/>
      <c r="N874" s="690"/>
      <c r="O874" s="690"/>
      <c r="P874" s="690"/>
      <c r="Q874" s="690"/>
      <c r="R874" s="690"/>
      <c r="S874" s="690"/>
      <c r="T874" s="690"/>
      <c r="U874" s="690"/>
      <c r="V874" s="690"/>
      <c r="W874" s="690"/>
      <c r="X874" s="690"/>
      <c r="Y874" s="690"/>
      <c r="Z874" s="690"/>
      <c r="AA874" s="690"/>
      <c r="AB874" s="690"/>
      <c r="AC874" s="690"/>
      <c r="AD874" s="690"/>
      <c r="AE874" s="690"/>
    </row>
    <row r="875" spans="1:31" ht="15.75" customHeight="1">
      <c r="A875" s="690"/>
      <c r="B875" s="690"/>
      <c r="C875" s="690"/>
      <c r="D875" s="690"/>
      <c r="E875" s="690"/>
      <c r="F875" s="690"/>
      <c r="G875" s="690"/>
      <c r="H875" s="690"/>
      <c r="I875" s="690"/>
      <c r="J875" s="690"/>
      <c r="K875" s="690"/>
      <c r="L875" s="690"/>
      <c r="M875" s="690"/>
      <c r="N875" s="690"/>
      <c r="O875" s="690"/>
      <c r="P875" s="690"/>
      <c r="Q875" s="690"/>
      <c r="R875" s="690"/>
      <c r="S875" s="690"/>
      <c r="T875" s="690"/>
      <c r="U875" s="690"/>
      <c r="V875" s="690"/>
      <c r="W875" s="690"/>
      <c r="X875" s="690"/>
      <c r="Y875" s="690"/>
      <c r="Z875" s="690"/>
      <c r="AA875" s="690"/>
      <c r="AB875" s="690"/>
      <c r="AC875" s="690"/>
      <c r="AD875" s="690"/>
      <c r="AE875" s="690"/>
    </row>
    <row r="876" spans="1:31" ht="15.75" customHeight="1">
      <c r="A876" s="690"/>
      <c r="B876" s="690"/>
      <c r="C876" s="690"/>
      <c r="D876" s="690"/>
      <c r="E876" s="690"/>
      <c r="F876" s="690"/>
      <c r="G876" s="690"/>
      <c r="H876" s="690"/>
      <c r="I876" s="690"/>
      <c r="J876" s="690"/>
      <c r="K876" s="690"/>
      <c r="L876" s="690"/>
      <c r="M876" s="690"/>
      <c r="N876" s="690"/>
      <c r="O876" s="690"/>
      <c r="P876" s="690"/>
      <c r="Q876" s="690"/>
      <c r="R876" s="690"/>
      <c r="S876" s="690"/>
      <c r="T876" s="690"/>
      <c r="U876" s="690"/>
      <c r="V876" s="690"/>
      <c r="W876" s="690"/>
      <c r="X876" s="690"/>
      <c r="Y876" s="690"/>
      <c r="Z876" s="690"/>
      <c r="AA876" s="690"/>
      <c r="AB876" s="690"/>
      <c r="AC876" s="690"/>
      <c r="AD876" s="690"/>
      <c r="AE876" s="690"/>
    </row>
    <row r="877" spans="1:31" ht="15.75" customHeight="1">
      <c r="A877" s="690"/>
      <c r="B877" s="690"/>
      <c r="C877" s="690"/>
      <c r="D877" s="690"/>
      <c r="E877" s="690"/>
      <c r="F877" s="690"/>
      <c r="G877" s="690"/>
      <c r="H877" s="690"/>
      <c r="I877" s="690"/>
      <c r="J877" s="690"/>
      <c r="K877" s="690"/>
      <c r="L877" s="690"/>
      <c r="M877" s="690"/>
      <c r="N877" s="690"/>
      <c r="O877" s="690"/>
      <c r="P877" s="690"/>
      <c r="Q877" s="690"/>
      <c r="R877" s="690"/>
      <c r="S877" s="690"/>
      <c r="T877" s="690"/>
      <c r="U877" s="690"/>
      <c r="V877" s="690"/>
      <c r="W877" s="690"/>
      <c r="X877" s="690"/>
      <c r="Y877" s="690"/>
      <c r="Z877" s="690"/>
      <c r="AA877" s="690"/>
      <c r="AB877" s="690"/>
      <c r="AC877" s="690"/>
      <c r="AD877" s="690"/>
      <c r="AE877" s="690"/>
    </row>
    <row r="878" spans="1:31" ht="15.75" customHeight="1">
      <c r="A878" s="690"/>
      <c r="B878" s="690"/>
      <c r="C878" s="690"/>
      <c r="D878" s="690"/>
      <c r="E878" s="690"/>
      <c r="F878" s="690"/>
      <c r="G878" s="690"/>
      <c r="H878" s="690"/>
      <c r="I878" s="690"/>
      <c r="J878" s="690"/>
      <c r="K878" s="690"/>
      <c r="L878" s="690"/>
      <c r="M878" s="690"/>
      <c r="N878" s="690"/>
      <c r="O878" s="690"/>
      <c r="P878" s="690"/>
      <c r="Q878" s="690"/>
      <c r="R878" s="690"/>
      <c r="S878" s="690"/>
      <c r="T878" s="690"/>
      <c r="U878" s="690"/>
      <c r="V878" s="690"/>
      <c r="W878" s="690"/>
      <c r="X878" s="690"/>
      <c r="Y878" s="690"/>
      <c r="Z878" s="690"/>
      <c r="AA878" s="690"/>
      <c r="AB878" s="690"/>
      <c r="AC878" s="690"/>
      <c r="AD878" s="690"/>
      <c r="AE878" s="690"/>
    </row>
    <row r="879" spans="1:31" ht="15.75" customHeight="1">
      <c r="A879" s="690"/>
      <c r="B879" s="690"/>
      <c r="C879" s="690"/>
      <c r="D879" s="690"/>
      <c r="E879" s="690"/>
      <c r="F879" s="690"/>
      <c r="G879" s="690"/>
      <c r="H879" s="690"/>
      <c r="I879" s="690"/>
      <c r="J879" s="690"/>
      <c r="K879" s="690"/>
      <c r="L879" s="690"/>
      <c r="M879" s="690"/>
      <c r="N879" s="690"/>
      <c r="O879" s="690"/>
      <c r="P879" s="690"/>
      <c r="Q879" s="690"/>
      <c r="R879" s="690"/>
      <c r="S879" s="690"/>
      <c r="T879" s="690"/>
      <c r="U879" s="690"/>
      <c r="V879" s="690"/>
      <c r="W879" s="690"/>
      <c r="X879" s="690"/>
      <c r="Y879" s="690"/>
      <c r="Z879" s="690"/>
      <c r="AA879" s="690"/>
      <c r="AB879" s="690"/>
      <c r="AC879" s="690"/>
      <c r="AD879" s="690"/>
      <c r="AE879" s="690"/>
    </row>
    <row r="880" spans="1:31" ht="15.75" customHeight="1">
      <c r="A880" s="690"/>
      <c r="B880" s="690"/>
      <c r="C880" s="690"/>
      <c r="D880" s="690"/>
      <c r="E880" s="690"/>
      <c r="F880" s="690"/>
      <c r="G880" s="690"/>
      <c r="H880" s="690"/>
      <c r="I880" s="690"/>
      <c r="J880" s="690"/>
      <c r="K880" s="690"/>
      <c r="L880" s="690"/>
      <c r="M880" s="690"/>
      <c r="N880" s="690"/>
      <c r="O880" s="690"/>
      <c r="P880" s="690"/>
      <c r="Q880" s="690"/>
      <c r="R880" s="690"/>
      <c r="S880" s="690"/>
      <c r="T880" s="690"/>
      <c r="U880" s="690"/>
      <c r="V880" s="690"/>
      <c r="W880" s="690"/>
      <c r="X880" s="690"/>
      <c r="Y880" s="690"/>
      <c r="Z880" s="690"/>
      <c r="AA880" s="690"/>
      <c r="AB880" s="690"/>
      <c r="AC880" s="690"/>
      <c r="AD880" s="690"/>
      <c r="AE880" s="690"/>
    </row>
    <row r="881" spans="1:31" ht="15.75" customHeight="1">
      <c r="A881" s="690"/>
      <c r="B881" s="690"/>
      <c r="C881" s="690"/>
      <c r="D881" s="690"/>
      <c r="E881" s="690"/>
      <c r="F881" s="690"/>
      <c r="G881" s="690"/>
      <c r="H881" s="690"/>
      <c r="I881" s="690"/>
      <c r="J881" s="690"/>
      <c r="K881" s="690"/>
      <c r="L881" s="690"/>
      <c r="M881" s="690"/>
      <c r="N881" s="690"/>
      <c r="O881" s="690"/>
      <c r="P881" s="690"/>
      <c r="Q881" s="690"/>
      <c r="R881" s="690"/>
      <c r="S881" s="690"/>
      <c r="T881" s="690"/>
      <c r="U881" s="690"/>
      <c r="V881" s="690"/>
      <c r="W881" s="690"/>
      <c r="X881" s="690"/>
      <c r="Y881" s="690"/>
      <c r="Z881" s="690"/>
      <c r="AA881" s="690"/>
      <c r="AB881" s="690"/>
      <c r="AC881" s="690"/>
      <c r="AD881" s="690"/>
      <c r="AE881" s="690"/>
    </row>
    <row r="882" spans="1:31" ht="15.75" customHeight="1">
      <c r="A882" s="690"/>
      <c r="B882" s="690"/>
      <c r="C882" s="690"/>
      <c r="D882" s="690"/>
      <c r="E882" s="690"/>
      <c r="F882" s="690"/>
      <c r="G882" s="690"/>
      <c r="H882" s="690"/>
      <c r="I882" s="690"/>
      <c r="J882" s="690"/>
      <c r="K882" s="690"/>
      <c r="L882" s="690"/>
      <c r="M882" s="690"/>
      <c r="N882" s="690"/>
      <c r="O882" s="690"/>
      <c r="P882" s="690"/>
      <c r="Q882" s="690"/>
      <c r="R882" s="690"/>
      <c r="S882" s="690"/>
      <c r="T882" s="690"/>
      <c r="U882" s="690"/>
      <c r="V882" s="690"/>
      <c r="W882" s="690"/>
      <c r="X882" s="690"/>
      <c r="Y882" s="690"/>
      <c r="Z882" s="690"/>
      <c r="AA882" s="690"/>
      <c r="AB882" s="690"/>
      <c r="AC882" s="690"/>
      <c r="AD882" s="690"/>
      <c r="AE882" s="690"/>
    </row>
    <row r="883" spans="1:31" ht="15.75" customHeight="1">
      <c r="A883" s="690"/>
      <c r="B883" s="690"/>
      <c r="C883" s="690"/>
      <c r="D883" s="690"/>
      <c r="E883" s="690"/>
      <c r="F883" s="690"/>
      <c r="G883" s="690"/>
      <c r="H883" s="690"/>
      <c r="I883" s="690"/>
      <c r="J883" s="690"/>
      <c r="K883" s="690"/>
      <c r="L883" s="690"/>
      <c r="M883" s="690"/>
      <c r="N883" s="690"/>
      <c r="O883" s="690"/>
      <c r="P883" s="690"/>
      <c r="Q883" s="690"/>
      <c r="R883" s="690"/>
      <c r="S883" s="690"/>
      <c r="T883" s="690"/>
      <c r="U883" s="690"/>
      <c r="V883" s="690"/>
      <c r="W883" s="690"/>
      <c r="X883" s="690"/>
      <c r="Y883" s="690"/>
      <c r="Z883" s="690"/>
      <c r="AA883" s="690"/>
      <c r="AB883" s="690"/>
      <c r="AC883" s="690"/>
      <c r="AD883" s="690"/>
      <c r="AE883" s="690"/>
    </row>
    <row r="884" spans="1:31" ht="15.75" customHeight="1">
      <c r="A884" s="690"/>
      <c r="B884" s="690"/>
      <c r="C884" s="690"/>
      <c r="D884" s="690"/>
      <c r="E884" s="690"/>
      <c r="F884" s="690"/>
      <c r="G884" s="690"/>
      <c r="H884" s="690"/>
      <c r="I884" s="690"/>
      <c r="J884" s="690"/>
      <c r="K884" s="690"/>
      <c r="L884" s="690"/>
      <c r="M884" s="690"/>
      <c r="N884" s="690"/>
      <c r="O884" s="690"/>
      <c r="P884" s="690"/>
      <c r="Q884" s="690"/>
      <c r="R884" s="690"/>
      <c r="S884" s="690"/>
      <c r="T884" s="690"/>
      <c r="U884" s="690"/>
      <c r="V884" s="690"/>
      <c r="W884" s="690"/>
      <c r="X884" s="690"/>
      <c r="Y884" s="690"/>
      <c r="Z884" s="690"/>
      <c r="AA884" s="690"/>
      <c r="AB884" s="690"/>
      <c r="AC884" s="690"/>
      <c r="AD884" s="690"/>
      <c r="AE884" s="690"/>
    </row>
    <row r="885" spans="1:31" ht="15.75" customHeight="1">
      <c r="A885" s="690"/>
      <c r="B885" s="690"/>
      <c r="C885" s="690"/>
      <c r="D885" s="690"/>
      <c r="E885" s="690"/>
      <c r="F885" s="690"/>
      <c r="G885" s="690"/>
      <c r="H885" s="690"/>
      <c r="I885" s="690"/>
      <c r="J885" s="690"/>
      <c r="K885" s="690"/>
      <c r="L885" s="690"/>
      <c r="M885" s="690"/>
      <c r="N885" s="690"/>
      <c r="O885" s="690"/>
      <c r="P885" s="690"/>
      <c r="Q885" s="690"/>
      <c r="R885" s="690"/>
      <c r="S885" s="690"/>
      <c r="T885" s="690"/>
      <c r="U885" s="690"/>
      <c r="V885" s="690"/>
      <c r="W885" s="690"/>
      <c r="X885" s="690"/>
      <c r="Y885" s="690"/>
      <c r="Z885" s="690"/>
      <c r="AA885" s="690"/>
      <c r="AB885" s="690"/>
      <c r="AC885" s="690"/>
      <c r="AD885" s="690"/>
      <c r="AE885" s="690"/>
    </row>
    <row r="886" spans="1:31" ht="15.75" customHeight="1">
      <c r="A886" s="690"/>
      <c r="B886" s="690"/>
      <c r="C886" s="690"/>
      <c r="D886" s="690"/>
      <c r="E886" s="690"/>
      <c r="F886" s="690"/>
      <c r="G886" s="690"/>
      <c r="H886" s="690"/>
      <c r="I886" s="690"/>
      <c r="J886" s="690"/>
      <c r="K886" s="690"/>
      <c r="L886" s="690"/>
      <c r="M886" s="690"/>
      <c r="N886" s="690"/>
      <c r="O886" s="690"/>
      <c r="P886" s="690"/>
      <c r="Q886" s="690"/>
      <c r="R886" s="690"/>
      <c r="S886" s="690"/>
      <c r="T886" s="690"/>
      <c r="U886" s="690"/>
      <c r="V886" s="690"/>
      <c r="W886" s="690"/>
      <c r="X886" s="690"/>
      <c r="Y886" s="690"/>
      <c r="Z886" s="690"/>
      <c r="AA886" s="690"/>
      <c r="AB886" s="690"/>
      <c r="AC886" s="690"/>
      <c r="AD886" s="690"/>
      <c r="AE886" s="690"/>
    </row>
    <row r="887" spans="1:31" ht="15.75" customHeight="1">
      <c r="A887" s="690"/>
      <c r="B887" s="690"/>
      <c r="C887" s="690"/>
      <c r="D887" s="690"/>
      <c r="E887" s="690"/>
      <c r="F887" s="690"/>
      <c r="G887" s="690"/>
      <c r="H887" s="690"/>
      <c r="I887" s="690"/>
      <c r="J887" s="690"/>
      <c r="K887" s="690"/>
      <c r="L887" s="690"/>
      <c r="M887" s="690"/>
      <c r="N887" s="690"/>
      <c r="O887" s="690"/>
      <c r="P887" s="690"/>
      <c r="Q887" s="690"/>
      <c r="R887" s="690"/>
      <c r="S887" s="690"/>
      <c r="T887" s="690"/>
      <c r="U887" s="690"/>
      <c r="V887" s="690"/>
      <c r="W887" s="690"/>
      <c r="X887" s="690"/>
      <c r="Y887" s="690"/>
      <c r="Z887" s="690"/>
      <c r="AA887" s="690"/>
      <c r="AB887" s="690"/>
      <c r="AC887" s="690"/>
      <c r="AD887" s="690"/>
      <c r="AE887" s="690"/>
    </row>
    <row r="888" spans="1:31" ht="15.75" customHeight="1">
      <c r="A888" s="690"/>
      <c r="B888" s="690"/>
      <c r="C888" s="690"/>
      <c r="D888" s="690"/>
      <c r="E888" s="690"/>
      <c r="F888" s="690"/>
      <c r="G888" s="690"/>
      <c r="H888" s="690"/>
      <c r="I888" s="690"/>
      <c r="J888" s="690"/>
      <c r="K888" s="690"/>
      <c r="L888" s="690"/>
      <c r="M888" s="690"/>
      <c r="N888" s="690"/>
      <c r="O888" s="690"/>
      <c r="P888" s="690"/>
      <c r="Q888" s="690"/>
      <c r="R888" s="690"/>
      <c r="S888" s="690"/>
      <c r="T888" s="690"/>
      <c r="U888" s="690"/>
      <c r="V888" s="690"/>
      <c r="W888" s="690"/>
      <c r="X888" s="690"/>
      <c r="Y888" s="690"/>
      <c r="Z888" s="690"/>
      <c r="AA888" s="690"/>
      <c r="AB888" s="690"/>
      <c r="AC888" s="690"/>
      <c r="AD888" s="690"/>
      <c r="AE888" s="690"/>
    </row>
    <row r="889" spans="1:31" ht="15.75" customHeight="1">
      <c r="A889" s="690"/>
      <c r="B889" s="690"/>
      <c r="C889" s="690"/>
      <c r="D889" s="690"/>
      <c r="E889" s="690"/>
      <c r="F889" s="690"/>
      <c r="G889" s="690"/>
      <c r="H889" s="690"/>
      <c r="I889" s="690"/>
      <c r="J889" s="690"/>
      <c r="K889" s="690"/>
      <c r="L889" s="690"/>
      <c r="M889" s="690"/>
      <c r="N889" s="690"/>
      <c r="O889" s="690"/>
      <c r="P889" s="690"/>
      <c r="Q889" s="690"/>
      <c r="R889" s="690"/>
      <c r="S889" s="690"/>
      <c r="T889" s="690"/>
      <c r="U889" s="690"/>
      <c r="V889" s="690"/>
      <c r="W889" s="690"/>
      <c r="X889" s="690"/>
      <c r="Y889" s="690"/>
      <c r="Z889" s="690"/>
      <c r="AA889" s="690"/>
      <c r="AB889" s="690"/>
      <c r="AC889" s="690"/>
      <c r="AD889" s="690"/>
      <c r="AE889" s="690"/>
    </row>
    <row r="890" spans="1:31" ht="15.75" customHeight="1">
      <c r="A890" s="690"/>
      <c r="B890" s="690"/>
      <c r="C890" s="690"/>
      <c r="D890" s="690"/>
      <c r="E890" s="690"/>
      <c r="F890" s="690"/>
      <c r="G890" s="690"/>
      <c r="H890" s="690"/>
      <c r="I890" s="690"/>
      <c r="J890" s="690"/>
      <c r="K890" s="690"/>
      <c r="L890" s="690"/>
      <c r="M890" s="690"/>
      <c r="N890" s="690"/>
      <c r="O890" s="690"/>
      <c r="P890" s="690"/>
      <c r="Q890" s="690"/>
      <c r="R890" s="690"/>
      <c r="S890" s="690"/>
      <c r="T890" s="690"/>
      <c r="U890" s="690"/>
      <c r="V890" s="690"/>
      <c r="W890" s="690"/>
      <c r="X890" s="690"/>
      <c r="Y890" s="690"/>
      <c r="Z890" s="690"/>
      <c r="AA890" s="690"/>
      <c r="AB890" s="690"/>
      <c r="AC890" s="690"/>
      <c r="AD890" s="690"/>
      <c r="AE890" s="690"/>
    </row>
    <row r="891" spans="1:31" ht="15.75" customHeight="1">
      <c r="A891" s="690"/>
      <c r="B891" s="690"/>
      <c r="C891" s="690"/>
      <c r="D891" s="690"/>
      <c r="E891" s="690"/>
      <c r="F891" s="690"/>
      <c r="G891" s="690"/>
      <c r="H891" s="690"/>
      <c r="I891" s="690"/>
      <c r="J891" s="690"/>
      <c r="K891" s="690"/>
      <c r="L891" s="690"/>
      <c r="M891" s="690"/>
      <c r="N891" s="690"/>
      <c r="O891" s="690"/>
      <c r="P891" s="690"/>
      <c r="Q891" s="690"/>
      <c r="R891" s="690"/>
      <c r="S891" s="690"/>
      <c r="T891" s="690"/>
      <c r="U891" s="690"/>
      <c r="V891" s="690"/>
      <c r="W891" s="690"/>
      <c r="X891" s="690"/>
      <c r="Y891" s="690"/>
      <c r="Z891" s="690"/>
      <c r="AA891" s="690"/>
      <c r="AB891" s="690"/>
      <c r="AC891" s="690"/>
      <c r="AD891" s="690"/>
      <c r="AE891" s="690"/>
    </row>
    <row r="892" spans="1:31" ht="15.75" customHeight="1">
      <c r="A892" s="690"/>
      <c r="B892" s="690"/>
      <c r="C892" s="690"/>
      <c r="D892" s="690"/>
      <c r="E892" s="690"/>
      <c r="F892" s="690"/>
      <c r="G892" s="690"/>
      <c r="H892" s="690"/>
      <c r="I892" s="690"/>
      <c r="J892" s="690"/>
      <c r="K892" s="690"/>
      <c r="L892" s="690"/>
      <c r="M892" s="690"/>
      <c r="N892" s="690"/>
      <c r="O892" s="690"/>
      <c r="P892" s="690"/>
      <c r="Q892" s="690"/>
      <c r="R892" s="690"/>
      <c r="S892" s="690"/>
      <c r="T892" s="690"/>
      <c r="U892" s="690"/>
      <c r="V892" s="690"/>
      <c r="W892" s="690"/>
      <c r="X892" s="690"/>
      <c r="Y892" s="690"/>
      <c r="Z892" s="690"/>
      <c r="AA892" s="690"/>
      <c r="AB892" s="690"/>
      <c r="AC892" s="690"/>
      <c r="AD892" s="690"/>
      <c r="AE892" s="690"/>
    </row>
    <row r="893" spans="1:31" ht="15.75" customHeight="1">
      <c r="A893" s="690"/>
      <c r="B893" s="690"/>
      <c r="C893" s="690"/>
      <c r="D893" s="690"/>
      <c r="E893" s="690"/>
      <c r="F893" s="690"/>
      <c r="G893" s="690"/>
      <c r="H893" s="690"/>
      <c r="I893" s="690"/>
      <c r="J893" s="690"/>
      <c r="K893" s="690"/>
      <c r="L893" s="690"/>
      <c r="M893" s="690"/>
      <c r="N893" s="690"/>
      <c r="O893" s="690"/>
      <c r="P893" s="690"/>
      <c r="Q893" s="690"/>
      <c r="R893" s="690"/>
      <c r="S893" s="690"/>
      <c r="T893" s="690"/>
      <c r="U893" s="690"/>
      <c r="V893" s="690"/>
      <c r="W893" s="690"/>
      <c r="X893" s="690"/>
      <c r="Y893" s="690"/>
      <c r="Z893" s="690"/>
      <c r="AA893" s="690"/>
      <c r="AB893" s="690"/>
      <c r="AC893" s="690"/>
      <c r="AD893" s="690"/>
      <c r="AE893" s="690"/>
    </row>
    <row r="894" spans="1:31" ht="15.75" customHeight="1">
      <c r="A894" s="690"/>
      <c r="B894" s="690"/>
      <c r="C894" s="690"/>
      <c r="D894" s="690"/>
      <c r="E894" s="690"/>
      <c r="F894" s="690"/>
      <c r="G894" s="690"/>
      <c r="H894" s="690"/>
      <c r="I894" s="690"/>
      <c r="J894" s="690"/>
      <c r="K894" s="690"/>
      <c r="L894" s="690"/>
      <c r="M894" s="690"/>
      <c r="N894" s="690"/>
      <c r="O894" s="690"/>
      <c r="P894" s="690"/>
      <c r="Q894" s="690"/>
      <c r="R894" s="690"/>
      <c r="S894" s="690"/>
      <c r="T894" s="690"/>
      <c r="U894" s="690"/>
      <c r="V894" s="690"/>
      <c r="W894" s="690"/>
      <c r="X894" s="690"/>
      <c r="Y894" s="690"/>
      <c r="Z894" s="690"/>
      <c r="AA894" s="690"/>
      <c r="AB894" s="690"/>
      <c r="AC894" s="690"/>
      <c r="AD894" s="690"/>
      <c r="AE894" s="690"/>
    </row>
    <row r="895" spans="1:31" ht="15.75" customHeight="1">
      <c r="A895" s="690"/>
      <c r="B895" s="690"/>
      <c r="C895" s="690"/>
      <c r="D895" s="690"/>
      <c r="E895" s="690"/>
      <c r="F895" s="690"/>
      <c r="G895" s="690"/>
      <c r="H895" s="690"/>
      <c r="I895" s="690"/>
      <c r="J895" s="690"/>
      <c r="K895" s="690"/>
      <c r="L895" s="690"/>
      <c r="M895" s="690"/>
      <c r="N895" s="690"/>
      <c r="O895" s="690"/>
      <c r="P895" s="690"/>
      <c r="Q895" s="690"/>
      <c r="R895" s="690"/>
      <c r="S895" s="690"/>
      <c r="T895" s="690"/>
      <c r="U895" s="690"/>
      <c r="V895" s="690"/>
      <c r="W895" s="690"/>
      <c r="X895" s="690"/>
      <c r="Y895" s="690"/>
      <c r="Z895" s="690"/>
      <c r="AA895" s="690"/>
      <c r="AB895" s="690"/>
      <c r="AC895" s="690"/>
      <c r="AD895" s="690"/>
      <c r="AE895" s="690"/>
    </row>
    <row r="896" spans="1:31" ht="15.75" customHeight="1">
      <c r="A896" s="690"/>
      <c r="B896" s="690"/>
      <c r="C896" s="690"/>
      <c r="D896" s="690"/>
      <c r="E896" s="690"/>
      <c r="F896" s="690"/>
      <c r="G896" s="690"/>
      <c r="H896" s="690"/>
      <c r="I896" s="690"/>
      <c r="J896" s="690"/>
      <c r="K896" s="690"/>
      <c r="L896" s="690"/>
      <c r="M896" s="690"/>
      <c r="N896" s="690"/>
      <c r="O896" s="690"/>
      <c r="P896" s="690"/>
      <c r="Q896" s="690"/>
      <c r="R896" s="690"/>
      <c r="S896" s="690"/>
      <c r="T896" s="690"/>
      <c r="U896" s="690"/>
      <c r="V896" s="690"/>
      <c r="W896" s="690"/>
      <c r="X896" s="690"/>
      <c r="Y896" s="690"/>
      <c r="Z896" s="690"/>
      <c r="AA896" s="690"/>
      <c r="AB896" s="690"/>
      <c r="AC896" s="690"/>
      <c r="AD896" s="690"/>
      <c r="AE896" s="690"/>
    </row>
    <row r="897" spans="1:31" ht="15.75" customHeight="1">
      <c r="A897" s="690"/>
      <c r="B897" s="690"/>
      <c r="C897" s="690"/>
      <c r="D897" s="690"/>
      <c r="E897" s="690"/>
      <c r="F897" s="690"/>
      <c r="G897" s="690"/>
      <c r="H897" s="690"/>
      <c r="I897" s="690"/>
      <c r="J897" s="690"/>
      <c r="K897" s="690"/>
      <c r="L897" s="690"/>
      <c r="M897" s="690"/>
      <c r="N897" s="690"/>
      <c r="O897" s="690"/>
      <c r="P897" s="690"/>
      <c r="Q897" s="690"/>
      <c r="R897" s="690"/>
      <c r="S897" s="690"/>
      <c r="T897" s="690"/>
      <c r="U897" s="690"/>
      <c r="V897" s="690"/>
      <c r="W897" s="690"/>
      <c r="X897" s="690"/>
      <c r="Y897" s="690"/>
      <c r="Z897" s="690"/>
      <c r="AA897" s="690"/>
      <c r="AB897" s="690"/>
      <c r="AC897" s="690"/>
      <c r="AD897" s="690"/>
      <c r="AE897" s="690"/>
    </row>
    <row r="898" spans="1:31" ht="15.75" customHeight="1">
      <c r="A898" s="690"/>
      <c r="B898" s="690"/>
      <c r="C898" s="690"/>
      <c r="D898" s="690"/>
      <c r="E898" s="690"/>
      <c r="F898" s="690"/>
      <c r="G898" s="690"/>
      <c r="H898" s="690"/>
      <c r="I898" s="690"/>
      <c r="J898" s="690"/>
      <c r="K898" s="690"/>
      <c r="L898" s="690"/>
      <c r="M898" s="690"/>
      <c r="N898" s="690"/>
      <c r="O898" s="690"/>
      <c r="P898" s="690"/>
      <c r="Q898" s="690"/>
      <c r="R898" s="690"/>
      <c r="S898" s="690"/>
      <c r="T898" s="690"/>
      <c r="U898" s="690"/>
      <c r="V898" s="690"/>
      <c r="W898" s="690"/>
      <c r="X898" s="690"/>
      <c r="Y898" s="690"/>
      <c r="Z898" s="690"/>
      <c r="AA898" s="690"/>
      <c r="AB898" s="690"/>
      <c r="AC898" s="690"/>
      <c r="AD898" s="690"/>
      <c r="AE898" s="690"/>
    </row>
    <row r="899" spans="1:31" ht="15.75" customHeight="1">
      <c r="A899" s="690"/>
      <c r="B899" s="690"/>
      <c r="C899" s="690"/>
      <c r="D899" s="690"/>
      <c r="E899" s="690"/>
      <c r="F899" s="690"/>
      <c r="G899" s="690"/>
      <c r="H899" s="690"/>
      <c r="I899" s="690"/>
      <c r="J899" s="690"/>
      <c r="K899" s="690"/>
      <c r="L899" s="690"/>
      <c r="M899" s="690"/>
      <c r="N899" s="690"/>
      <c r="O899" s="690"/>
      <c r="P899" s="690"/>
      <c r="Q899" s="690"/>
      <c r="R899" s="690"/>
      <c r="S899" s="690"/>
      <c r="T899" s="690"/>
      <c r="U899" s="690"/>
      <c r="V899" s="690"/>
      <c r="W899" s="690"/>
      <c r="X899" s="690"/>
      <c r="Y899" s="690"/>
      <c r="Z899" s="690"/>
      <c r="AA899" s="690"/>
      <c r="AB899" s="690"/>
      <c r="AC899" s="690"/>
      <c r="AD899" s="690"/>
      <c r="AE899" s="690"/>
    </row>
    <row r="900" spans="1:31" ht="15.75" customHeight="1">
      <c r="A900" s="690"/>
      <c r="B900" s="690"/>
      <c r="C900" s="690"/>
      <c r="D900" s="690"/>
      <c r="E900" s="690"/>
      <c r="F900" s="690"/>
      <c r="G900" s="690"/>
      <c r="H900" s="690"/>
      <c r="I900" s="690"/>
      <c r="J900" s="690"/>
      <c r="K900" s="690"/>
      <c r="L900" s="690"/>
      <c r="M900" s="690"/>
      <c r="N900" s="690"/>
      <c r="O900" s="690"/>
      <c r="P900" s="690"/>
      <c r="Q900" s="690"/>
      <c r="R900" s="690"/>
      <c r="S900" s="690"/>
      <c r="T900" s="690"/>
      <c r="U900" s="690"/>
      <c r="V900" s="690"/>
      <c r="W900" s="690"/>
      <c r="X900" s="690"/>
      <c r="Y900" s="690"/>
      <c r="Z900" s="690"/>
      <c r="AA900" s="690"/>
      <c r="AB900" s="690"/>
      <c r="AC900" s="690"/>
      <c r="AD900" s="690"/>
      <c r="AE900" s="690"/>
    </row>
    <row r="901" spans="1:31" ht="15.75" customHeight="1">
      <c r="A901" s="690"/>
      <c r="B901" s="690"/>
      <c r="C901" s="690"/>
      <c r="D901" s="690"/>
      <c r="E901" s="690"/>
      <c r="F901" s="690"/>
      <c r="G901" s="690"/>
      <c r="H901" s="690"/>
      <c r="I901" s="690"/>
      <c r="J901" s="690"/>
      <c r="K901" s="690"/>
      <c r="L901" s="690"/>
      <c r="M901" s="690"/>
      <c r="N901" s="690"/>
      <c r="O901" s="690"/>
      <c r="P901" s="690"/>
      <c r="Q901" s="690"/>
      <c r="R901" s="690"/>
      <c r="S901" s="690"/>
      <c r="T901" s="690"/>
      <c r="U901" s="690"/>
      <c r="V901" s="690"/>
      <c r="W901" s="690"/>
      <c r="X901" s="690"/>
      <c r="Y901" s="690"/>
      <c r="Z901" s="690"/>
      <c r="AA901" s="690"/>
      <c r="AB901" s="690"/>
      <c r="AC901" s="690"/>
      <c r="AD901" s="690"/>
      <c r="AE901" s="690"/>
    </row>
    <row r="902" spans="1:31" ht="15.75" customHeight="1">
      <c r="A902" s="690"/>
      <c r="B902" s="690"/>
      <c r="C902" s="690"/>
      <c r="D902" s="690"/>
      <c r="E902" s="690"/>
      <c r="F902" s="690"/>
      <c r="G902" s="690"/>
      <c r="H902" s="690"/>
      <c r="I902" s="690"/>
      <c r="J902" s="690"/>
      <c r="K902" s="690"/>
      <c r="L902" s="690"/>
      <c r="M902" s="690"/>
      <c r="N902" s="690"/>
      <c r="O902" s="690"/>
      <c r="P902" s="690"/>
      <c r="Q902" s="690"/>
      <c r="R902" s="690"/>
      <c r="S902" s="690"/>
      <c r="T902" s="690"/>
      <c r="U902" s="690"/>
      <c r="V902" s="690"/>
      <c r="W902" s="690"/>
      <c r="X902" s="690"/>
      <c r="Y902" s="690"/>
      <c r="Z902" s="690"/>
      <c r="AA902" s="690"/>
      <c r="AB902" s="690"/>
      <c r="AC902" s="690"/>
      <c r="AD902" s="690"/>
      <c r="AE902" s="690"/>
    </row>
    <row r="903" spans="1:31" ht="15.75" customHeight="1">
      <c r="A903" s="690"/>
      <c r="B903" s="690"/>
      <c r="C903" s="690"/>
      <c r="D903" s="690"/>
      <c r="E903" s="690"/>
      <c r="F903" s="690"/>
      <c r="G903" s="690"/>
      <c r="H903" s="690"/>
      <c r="I903" s="690"/>
      <c r="J903" s="690"/>
      <c r="K903" s="690"/>
      <c r="L903" s="690"/>
      <c r="M903" s="690"/>
      <c r="N903" s="690"/>
      <c r="O903" s="690"/>
      <c r="P903" s="690"/>
      <c r="Q903" s="690"/>
      <c r="R903" s="690"/>
      <c r="S903" s="690"/>
      <c r="T903" s="690"/>
      <c r="U903" s="690"/>
      <c r="V903" s="690"/>
      <c r="W903" s="690"/>
      <c r="X903" s="690"/>
      <c r="Y903" s="690"/>
      <c r="Z903" s="690"/>
      <c r="AA903" s="690"/>
      <c r="AB903" s="690"/>
      <c r="AC903" s="690"/>
      <c r="AD903" s="690"/>
      <c r="AE903" s="690"/>
    </row>
    <row r="904" spans="1:31" ht="15.75" customHeight="1">
      <c r="A904" s="690"/>
      <c r="B904" s="690"/>
      <c r="C904" s="690"/>
      <c r="D904" s="690"/>
      <c r="E904" s="690"/>
      <c r="F904" s="690"/>
      <c r="G904" s="690"/>
      <c r="H904" s="690"/>
      <c r="I904" s="690"/>
      <c r="J904" s="690"/>
      <c r="K904" s="690"/>
      <c r="L904" s="690"/>
      <c r="M904" s="690"/>
      <c r="N904" s="690"/>
      <c r="O904" s="690"/>
      <c r="P904" s="690"/>
      <c r="Q904" s="690"/>
      <c r="R904" s="690"/>
      <c r="S904" s="690"/>
      <c r="T904" s="690"/>
      <c r="U904" s="690"/>
      <c r="V904" s="690"/>
      <c r="W904" s="690"/>
      <c r="X904" s="690"/>
      <c r="Y904" s="690"/>
      <c r="Z904" s="690"/>
      <c r="AA904" s="690"/>
      <c r="AB904" s="690"/>
      <c r="AC904" s="690"/>
      <c r="AD904" s="690"/>
      <c r="AE904" s="690"/>
    </row>
    <row r="905" spans="1:31" ht="15.75" customHeight="1">
      <c r="A905" s="690"/>
      <c r="B905" s="690"/>
      <c r="C905" s="690"/>
      <c r="D905" s="690"/>
      <c r="E905" s="690"/>
      <c r="F905" s="690"/>
      <c r="G905" s="690"/>
      <c r="H905" s="690"/>
      <c r="I905" s="690"/>
      <c r="J905" s="690"/>
      <c r="K905" s="690"/>
      <c r="L905" s="690"/>
      <c r="M905" s="690"/>
      <c r="N905" s="690"/>
      <c r="O905" s="690"/>
      <c r="P905" s="690"/>
      <c r="Q905" s="690"/>
      <c r="R905" s="690"/>
      <c r="S905" s="690"/>
      <c r="T905" s="690"/>
      <c r="U905" s="690"/>
      <c r="V905" s="690"/>
      <c r="W905" s="690"/>
      <c r="X905" s="690"/>
      <c r="Y905" s="690"/>
      <c r="Z905" s="690"/>
      <c r="AA905" s="690"/>
      <c r="AB905" s="690"/>
      <c r="AC905" s="690"/>
      <c r="AD905" s="690"/>
      <c r="AE905" s="690"/>
    </row>
    <row r="906" spans="1:31" ht="15.75" customHeight="1">
      <c r="A906" s="690"/>
      <c r="B906" s="690"/>
      <c r="C906" s="690"/>
      <c r="D906" s="690"/>
      <c r="E906" s="690"/>
      <c r="F906" s="690"/>
      <c r="G906" s="690"/>
      <c r="H906" s="690"/>
      <c r="I906" s="690"/>
      <c r="J906" s="690"/>
      <c r="K906" s="690"/>
      <c r="L906" s="690"/>
      <c r="M906" s="690"/>
      <c r="N906" s="690"/>
      <c r="O906" s="690"/>
      <c r="P906" s="690"/>
      <c r="Q906" s="690"/>
      <c r="R906" s="690"/>
      <c r="S906" s="690"/>
      <c r="T906" s="690"/>
      <c r="U906" s="690"/>
      <c r="V906" s="690"/>
      <c r="W906" s="690"/>
      <c r="X906" s="690"/>
      <c r="Y906" s="690"/>
      <c r="Z906" s="690"/>
      <c r="AA906" s="690"/>
      <c r="AB906" s="690"/>
      <c r="AC906" s="690"/>
      <c r="AD906" s="690"/>
      <c r="AE906" s="690"/>
    </row>
    <row r="907" spans="1:31" ht="15.75" customHeight="1">
      <c r="A907" s="690"/>
      <c r="B907" s="690"/>
      <c r="C907" s="690"/>
      <c r="D907" s="690"/>
      <c r="E907" s="690"/>
      <c r="F907" s="690"/>
      <c r="G907" s="690"/>
      <c r="H907" s="690"/>
      <c r="I907" s="690"/>
      <c r="J907" s="690"/>
      <c r="K907" s="690"/>
      <c r="L907" s="690"/>
      <c r="M907" s="690"/>
      <c r="N907" s="690"/>
      <c r="O907" s="690"/>
      <c r="P907" s="690"/>
      <c r="Q907" s="690"/>
      <c r="R907" s="690"/>
      <c r="S907" s="690"/>
      <c r="T907" s="690"/>
      <c r="U907" s="690"/>
      <c r="V907" s="690"/>
      <c r="W907" s="690"/>
      <c r="X907" s="690"/>
      <c r="Y907" s="690"/>
      <c r="Z907" s="690"/>
      <c r="AA907" s="690"/>
      <c r="AB907" s="690"/>
      <c r="AC907" s="690"/>
      <c r="AD907" s="690"/>
      <c r="AE907" s="690"/>
    </row>
    <row r="908" spans="1:31" ht="15.75" customHeight="1">
      <c r="A908" s="690"/>
      <c r="B908" s="690"/>
      <c r="C908" s="690"/>
      <c r="D908" s="690"/>
      <c r="E908" s="690"/>
      <c r="F908" s="690"/>
      <c r="G908" s="690"/>
      <c r="H908" s="690"/>
      <c r="I908" s="690"/>
      <c r="J908" s="690"/>
      <c r="K908" s="690"/>
      <c r="L908" s="690"/>
      <c r="M908" s="690"/>
      <c r="N908" s="690"/>
      <c r="O908" s="690"/>
      <c r="P908" s="690"/>
      <c r="Q908" s="690"/>
      <c r="R908" s="690"/>
      <c r="S908" s="690"/>
      <c r="T908" s="690"/>
      <c r="U908" s="690"/>
      <c r="V908" s="690"/>
      <c r="W908" s="690"/>
      <c r="X908" s="690"/>
      <c r="Y908" s="690"/>
      <c r="Z908" s="690"/>
      <c r="AA908" s="690"/>
      <c r="AB908" s="690"/>
      <c r="AC908" s="690"/>
      <c r="AD908" s="690"/>
      <c r="AE908" s="690"/>
    </row>
    <row r="909" spans="1:31" ht="15.75" customHeight="1">
      <c r="A909" s="690"/>
      <c r="B909" s="690"/>
      <c r="C909" s="690"/>
      <c r="D909" s="690"/>
      <c r="E909" s="690"/>
      <c r="F909" s="690"/>
      <c r="G909" s="690"/>
      <c r="H909" s="690"/>
      <c r="I909" s="690"/>
      <c r="J909" s="690"/>
      <c r="K909" s="690"/>
      <c r="L909" s="690"/>
      <c r="M909" s="690"/>
      <c r="N909" s="690"/>
      <c r="O909" s="690"/>
      <c r="P909" s="690"/>
      <c r="Q909" s="690"/>
      <c r="R909" s="690"/>
      <c r="S909" s="690"/>
      <c r="T909" s="690"/>
      <c r="U909" s="690"/>
      <c r="V909" s="690"/>
      <c r="W909" s="690"/>
      <c r="X909" s="690"/>
      <c r="Y909" s="690"/>
      <c r="Z909" s="690"/>
      <c r="AA909" s="690"/>
      <c r="AB909" s="690"/>
      <c r="AC909" s="690"/>
      <c r="AD909" s="690"/>
      <c r="AE909" s="690"/>
    </row>
    <row r="910" spans="1:31" ht="15.75" customHeight="1">
      <c r="A910" s="690"/>
      <c r="B910" s="690"/>
      <c r="C910" s="690"/>
      <c r="D910" s="690"/>
      <c r="E910" s="690"/>
      <c r="F910" s="690"/>
      <c r="G910" s="690"/>
      <c r="H910" s="690"/>
      <c r="I910" s="690"/>
      <c r="J910" s="690"/>
      <c r="K910" s="690"/>
      <c r="L910" s="690"/>
      <c r="M910" s="690"/>
      <c r="N910" s="690"/>
      <c r="O910" s="690"/>
      <c r="P910" s="690"/>
      <c r="Q910" s="690"/>
      <c r="R910" s="690"/>
      <c r="S910" s="690"/>
      <c r="T910" s="690"/>
      <c r="U910" s="690"/>
      <c r="V910" s="690"/>
      <c r="W910" s="690"/>
      <c r="X910" s="690"/>
      <c r="Y910" s="690"/>
      <c r="Z910" s="690"/>
      <c r="AA910" s="690"/>
      <c r="AB910" s="690"/>
      <c r="AC910" s="690"/>
      <c r="AD910" s="690"/>
      <c r="AE910" s="690"/>
    </row>
    <row r="911" spans="1:31" ht="15.75" customHeight="1">
      <c r="A911" s="690"/>
      <c r="B911" s="690"/>
      <c r="C911" s="690"/>
      <c r="D911" s="690"/>
      <c r="E911" s="690"/>
      <c r="F911" s="690"/>
      <c r="G911" s="690"/>
      <c r="H911" s="690"/>
      <c r="I911" s="690"/>
      <c r="J911" s="690"/>
      <c r="K911" s="690"/>
      <c r="L911" s="690"/>
      <c r="M911" s="690"/>
      <c r="N911" s="690"/>
      <c r="O911" s="690"/>
      <c r="P911" s="690"/>
      <c r="Q911" s="690"/>
      <c r="R911" s="690"/>
      <c r="S911" s="690"/>
      <c r="T911" s="690"/>
      <c r="U911" s="690"/>
      <c r="V911" s="690"/>
      <c r="W911" s="690"/>
      <c r="X911" s="690"/>
      <c r="Y911" s="690"/>
      <c r="Z911" s="690"/>
      <c r="AA911" s="690"/>
      <c r="AB911" s="690"/>
      <c r="AC911" s="690"/>
      <c r="AD911" s="690"/>
      <c r="AE911" s="690"/>
    </row>
    <row r="912" spans="1:31" ht="15.75" customHeight="1">
      <c r="A912" s="690"/>
      <c r="B912" s="690"/>
      <c r="C912" s="690"/>
      <c r="D912" s="690"/>
      <c r="E912" s="690"/>
      <c r="F912" s="690"/>
      <c r="G912" s="690"/>
      <c r="H912" s="690"/>
      <c r="I912" s="690"/>
      <c r="J912" s="690"/>
      <c r="K912" s="690"/>
      <c r="L912" s="690"/>
      <c r="M912" s="690"/>
      <c r="N912" s="690"/>
      <c r="O912" s="690"/>
      <c r="P912" s="690"/>
      <c r="Q912" s="690"/>
      <c r="R912" s="690"/>
      <c r="S912" s="690"/>
      <c r="T912" s="690"/>
      <c r="U912" s="690"/>
      <c r="V912" s="690"/>
      <c r="W912" s="690"/>
      <c r="X912" s="690"/>
      <c r="Y912" s="690"/>
      <c r="Z912" s="690"/>
      <c r="AA912" s="690"/>
      <c r="AB912" s="690"/>
      <c r="AC912" s="690"/>
      <c r="AD912" s="690"/>
      <c r="AE912" s="690"/>
    </row>
    <row r="913" spans="1:31" ht="15.75" customHeight="1">
      <c r="A913" s="690"/>
      <c r="B913" s="690"/>
      <c r="C913" s="690"/>
      <c r="D913" s="690"/>
      <c r="E913" s="690"/>
      <c r="F913" s="690"/>
      <c r="G913" s="690"/>
      <c r="H913" s="690"/>
      <c r="I913" s="690"/>
      <c r="J913" s="690"/>
      <c r="K913" s="690"/>
      <c r="L913" s="690"/>
      <c r="M913" s="690"/>
      <c r="N913" s="690"/>
      <c r="O913" s="690"/>
      <c r="P913" s="690"/>
      <c r="Q913" s="690"/>
      <c r="R913" s="690"/>
      <c r="S913" s="690"/>
      <c r="T913" s="690"/>
      <c r="U913" s="690"/>
      <c r="V913" s="690"/>
      <c r="W913" s="690"/>
      <c r="X913" s="690"/>
      <c r="Y913" s="690"/>
      <c r="Z913" s="690"/>
      <c r="AA913" s="690"/>
      <c r="AB913" s="690"/>
      <c r="AC913" s="690"/>
      <c r="AD913" s="690"/>
      <c r="AE913" s="690"/>
    </row>
    <row r="914" spans="1:31" ht="15.75" customHeight="1">
      <c r="A914" s="690"/>
      <c r="B914" s="690"/>
      <c r="C914" s="690"/>
      <c r="D914" s="690"/>
      <c r="E914" s="690"/>
      <c r="F914" s="690"/>
      <c r="G914" s="690"/>
      <c r="H914" s="690"/>
      <c r="I914" s="690"/>
      <c r="J914" s="690"/>
      <c r="K914" s="690"/>
      <c r="L914" s="690"/>
      <c r="M914" s="690"/>
      <c r="N914" s="690"/>
      <c r="O914" s="690"/>
      <c r="P914" s="690"/>
      <c r="Q914" s="690"/>
      <c r="R914" s="690"/>
      <c r="S914" s="690"/>
      <c r="T914" s="690"/>
      <c r="U914" s="690"/>
      <c r="V914" s="690"/>
      <c r="W914" s="690"/>
      <c r="X914" s="690"/>
      <c r="Y914" s="690"/>
      <c r="Z914" s="690"/>
      <c r="AA914" s="690"/>
      <c r="AB914" s="690"/>
      <c r="AC914" s="690"/>
      <c r="AD914" s="690"/>
      <c r="AE914" s="690"/>
    </row>
    <row r="915" spans="1:31" ht="15.75" customHeight="1">
      <c r="A915" s="690"/>
      <c r="B915" s="690"/>
      <c r="C915" s="690"/>
      <c r="D915" s="690"/>
      <c r="E915" s="690"/>
      <c r="F915" s="690"/>
      <c r="G915" s="690"/>
      <c r="H915" s="690"/>
      <c r="I915" s="690"/>
      <c r="J915" s="690"/>
      <c r="K915" s="690"/>
      <c r="L915" s="690"/>
      <c r="M915" s="690"/>
      <c r="N915" s="690"/>
      <c r="O915" s="690"/>
      <c r="P915" s="690"/>
      <c r="Q915" s="690"/>
      <c r="R915" s="690"/>
      <c r="S915" s="690"/>
      <c r="T915" s="690"/>
      <c r="U915" s="690"/>
      <c r="V915" s="690"/>
      <c r="W915" s="690"/>
      <c r="X915" s="690"/>
      <c r="Y915" s="690"/>
      <c r="Z915" s="690"/>
      <c r="AA915" s="690"/>
      <c r="AB915" s="690"/>
      <c r="AC915" s="690"/>
      <c r="AD915" s="690"/>
      <c r="AE915" s="690"/>
    </row>
    <row r="916" spans="1:31" ht="15.75" customHeight="1">
      <c r="A916" s="690"/>
      <c r="B916" s="690"/>
      <c r="C916" s="690"/>
      <c r="D916" s="690"/>
      <c r="E916" s="690"/>
      <c r="F916" s="690"/>
      <c r="G916" s="690"/>
      <c r="H916" s="690"/>
      <c r="I916" s="690"/>
      <c r="J916" s="690"/>
      <c r="K916" s="690"/>
      <c r="L916" s="690"/>
      <c r="M916" s="690"/>
      <c r="N916" s="690"/>
      <c r="O916" s="690"/>
      <c r="P916" s="690"/>
      <c r="Q916" s="690"/>
      <c r="R916" s="690"/>
      <c r="S916" s="690"/>
      <c r="T916" s="690"/>
      <c r="U916" s="690"/>
      <c r="V916" s="690"/>
      <c r="W916" s="690"/>
      <c r="X916" s="690"/>
      <c r="Y916" s="690"/>
      <c r="Z916" s="690"/>
      <c r="AA916" s="690"/>
      <c r="AB916" s="690"/>
      <c r="AC916" s="690"/>
      <c r="AD916" s="690"/>
      <c r="AE916" s="690"/>
    </row>
    <row r="917" spans="1:31" ht="15.75" customHeight="1">
      <c r="A917" s="690"/>
      <c r="B917" s="690"/>
      <c r="C917" s="690"/>
      <c r="D917" s="690"/>
      <c r="E917" s="690"/>
      <c r="F917" s="690"/>
      <c r="G917" s="690"/>
      <c r="H917" s="690"/>
      <c r="I917" s="690"/>
      <c r="J917" s="690"/>
      <c r="K917" s="690"/>
      <c r="L917" s="690"/>
      <c r="M917" s="690"/>
      <c r="N917" s="690"/>
      <c r="O917" s="690"/>
      <c r="P917" s="690"/>
      <c r="Q917" s="690"/>
      <c r="R917" s="690"/>
      <c r="S917" s="690"/>
      <c r="T917" s="690"/>
      <c r="U917" s="690"/>
      <c r="V917" s="690"/>
      <c r="W917" s="690"/>
      <c r="X917" s="690"/>
      <c r="Y917" s="690"/>
      <c r="Z917" s="690"/>
      <c r="AA917" s="690"/>
      <c r="AB917" s="690"/>
      <c r="AC917" s="690"/>
      <c r="AD917" s="690"/>
      <c r="AE917" s="690"/>
    </row>
    <row r="918" spans="1:31" ht="15.75" customHeight="1">
      <c r="A918" s="690"/>
      <c r="B918" s="690"/>
      <c r="C918" s="690"/>
      <c r="D918" s="690"/>
      <c r="E918" s="690"/>
      <c r="F918" s="690"/>
      <c r="G918" s="690"/>
      <c r="H918" s="690"/>
      <c r="I918" s="690"/>
      <c r="J918" s="690"/>
      <c r="K918" s="690"/>
      <c r="L918" s="690"/>
      <c r="M918" s="690"/>
      <c r="N918" s="690"/>
      <c r="O918" s="690"/>
      <c r="P918" s="690"/>
      <c r="Q918" s="690"/>
      <c r="R918" s="690"/>
      <c r="S918" s="690"/>
      <c r="T918" s="690"/>
      <c r="U918" s="690"/>
      <c r="V918" s="690"/>
      <c r="W918" s="690"/>
      <c r="X918" s="690"/>
      <c r="Y918" s="690"/>
      <c r="Z918" s="690"/>
      <c r="AA918" s="690"/>
      <c r="AB918" s="690"/>
      <c r="AC918" s="690"/>
      <c r="AD918" s="690"/>
      <c r="AE918" s="690"/>
    </row>
    <row r="919" spans="1:31" ht="15.75" customHeight="1">
      <c r="A919" s="690"/>
      <c r="B919" s="690"/>
      <c r="C919" s="690"/>
      <c r="D919" s="690"/>
      <c r="E919" s="690"/>
      <c r="F919" s="690"/>
      <c r="G919" s="690"/>
      <c r="H919" s="690"/>
      <c r="I919" s="690"/>
      <c r="J919" s="690"/>
      <c r="K919" s="690"/>
      <c r="L919" s="690"/>
      <c r="M919" s="690"/>
      <c r="N919" s="690"/>
      <c r="O919" s="690"/>
      <c r="P919" s="690"/>
      <c r="Q919" s="690"/>
      <c r="R919" s="690"/>
      <c r="S919" s="690"/>
      <c r="T919" s="690"/>
      <c r="U919" s="690"/>
      <c r="V919" s="690"/>
      <c r="W919" s="690"/>
      <c r="X919" s="690"/>
      <c r="Y919" s="690"/>
      <c r="Z919" s="690"/>
      <c r="AA919" s="690"/>
      <c r="AB919" s="690"/>
      <c r="AC919" s="690"/>
      <c r="AD919" s="690"/>
      <c r="AE919" s="690"/>
    </row>
    <row r="920" spans="1:31" ht="15.75" customHeight="1">
      <c r="A920" s="690"/>
      <c r="B920" s="690"/>
      <c r="C920" s="690"/>
      <c r="D920" s="690"/>
      <c r="E920" s="690"/>
      <c r="F920" s="690"/>
      <c r="G920" s="690"/>
      <c r="H920" s="690"/>
      <c r="I920" s="690"/>
      <c r="J920" s="690"/>
      <c r="K920" s="690"/>
      <c r="L920" s="690"/>
      <c r="M920" s="690"/>
      <c r="N920" s="690"/>
      <c r="O920" s="690"/>
      <c r="P920" s="690"/>
      <c r="Q920" s="690"/>
      <c r="R920" s="690"/>
      <c r="S920" s="690"/>
      <c r="T920" s="690"/>
      <c r="U920" s="690"/>
      <c r="V920" s="690"/>
      <c r="W920" s="690"/>
      <c r="X920" s="690"/>
      <c r="Y920" s="690"/>
      <c r="Z920" s="690"/>
      <c r="AA920" s="690"/>
      <c r="AB920" s="690"/>
      <c r="AC920" s="690"/>
      <c r="AD920" s="690"/>
      <c r="AE920" s="690"/>
    </row>
    <row r="921" spans="1:31" ht="15.75" customHeight="1">
      <c r="A921" s="690"/>
      <c r="B921" s="690"/>
      <c r="C921" s="690"/>
      <c r="D921" s="690"/>
      <c r="E921" s="690"/>
      <c r="F921" s="690"/>
      <c r="G921" s="690"/>
      <c r="H921" s="690"/>
      <c r="I921" s="690"/>
      <c r="J921" s="690"/>
      <c r="K921" s="690"/>
      <c r="L921" s="690"/>
      <c r="M921" s="690"/>
      <c r="N921" s="690"/>
      <c r="O921" s="690"/>
      <c r="P921" s="690"/>
      <c r="Q921" s="690"/>
      <c r="R921" s="690"/>
      <c r="S921" s="690"/>
      <c r="T921" s="690"/>
      <c r="U921" s="690"/>
      <c r="V921" s="690"/>
      <c r="W921" s="690"/>
      <c r="X921" s="690"/>
      <c r="Y921" s="690"/>
      <c r="Z921" s="690"/>
      <c r="AA921" s="690"/>
      <c r="AB921" s="690"/>
      <c r="AC921" s="690"/>
      <c r="AD921" s="690"/>
      <c r="AE921" s="690"/>
    </row>
    <row r="922" spans="1:31" ht="15.75" customHeight="1">
      <c r="A922" s="690"/>
      <c r="B922" s="690"/>
      <c r="C922" s="690"/>
      <c r="D922" s="690"/>
      <c r="E922" s="690"/>
      <c r="F922" s="690"/>
      <c r="G922" s="690"/>
      <c r="H922" s="690"/>
      <c r="I922" s="690"/>
      <c r="J922" s="690"/>
      <c r="K922" s="690"/>
      <c r="L922" s="690"/>
      <c r="M922" s="690"/>
      <c r="N922" s="690"/>
      <c r="O922" s="690"/>
      <c r="P922" s="690"/>
      <c r="Q922" s="690"/>
      <c r="R922" s="690"/>
      <c r="S922" s="690"/>
      <c r="T922" s="690"/>
      <c r="U922" s="690"/>
      <c r="V922" s="690"/>
      <c r="W922" s="690"/>
      <c r="X922" s="690"/>
      <c r="Y922" s="690"/>
      <c r="Z922" s="690"/>
      <c r="AA922" s="690"/>
      <c r="AB922" s="690"/>
      <c r="AC922" s="690"/>
      <c r="AD922" s="690"/>
      <c r="AE922" s="690"/>
    </row>
    <row r="923" spans="1:31" ht="15.75" customHeight="1">
      <c r="A923" s="690"/>
      <c r="B923" s="690"/>
      <c r="C923" s="690"/>
      <c r="D923" s="690"/>
      <c r="E923" s="690"/>
      <c r="F923" s="690"/>
      <c r="G923" s="690"/>
      <c r="H923" s="690"/>
      <c r="I923" s="690"/>
      <c r="J923" s="690"/>
      <c r="K923" s="690"/>
      <c r="L923" s="690"/>
      <c r="M923" s="690"/>
      <c r="N923" s="690"/>
      <c r="O923" s="690"/>
      <c r="P923" s="690"/>
      <c r="Q923" s="690"/>
      <c r="R923" s="690"/>
      <c r="S923" s="690"/>
      <c r="T923" s="690"/>
      <c r="U923" s="690"/>
      <c r="V923" s="690"/>
      <c r="W923" s="690"/>
      <c r="X923" s="690"/>
      <c r="Y923" s="690"/>
      <c r="Z923" s="690"/>
      <c r="AA923" s="690"/>
      <c r="AB923" s="690"/>
      <c r="AC923" s="690"/>
      <c r="AD923" s="690"/>
      <c r="AE923" s="690"/>
    </row>
    <row r="924" spans="1:31" ht="15.75" customHeight="1">
      <c r="A924" s="690"/>
      <c r="B924" s="690"/>
      <c r="C924" s="690"/>
      <c r="D924" s="690"/>
      <c r="E924" s="690"/>
      <c r="F924" s="690"/>
      <c r="G924" s="690"/>
      <c r="H924" s="690"/>
      <c r="I924" s="690"/>
      <c r="J924" s="690"/>
      <c r="K924" s="690"/>
      <c r="L924" s="690"/>
      <c r="M924" s="690"/>
      <c r="N924" s="690"/>
      <c r="O924" s="690"/>
      <c r="P924" s="690"/>
      <c r="Q924" s="690"/>
      <c r="R924" s="690"/>
      <c r="S924" s="690"/>
      <c r="T924" s="690"/>
      <c r="U924" s="690"/>
      <c r="V924" s="690"/>
      <c r="W924" s="690"/>
      <c r="X924" s="690"/>
      <c r="Y924" s="690"/>
      <c r="Z924" s="690"/>
      <c r="AA924" s="690"/>
      <c r="AB924" s="690"/>
      <c r="AC924" s="690"/>
      <c r="AD924" s="690"/>
      <c r="AE924" s="690"/>
    </row>
    <row r="925" spans="1:31" ht="15.75" customHeight="1">
      <c r="A925" s="690"/>
      <c r="B925" s="690"/>
      <c r="C925" s="690"/>
      <c r="D925" s="690"/>
      <c r="E925" s="690"/>
      <c r="F925" s="690"/>
      <c r="G925" s="690"/>
      <c r="H925" s="690"/>
      <c r="I925" s="690"/>
      <c r="J925" s="690"/>
      <c r="K925" s="690"/>
      <c r="L925" s="690"/>
      <c r="M925" s="690"/>
      <c r="N925" s="690"/>
      <c r="O925" s="690"/>
      <c r="P925" s="690"/>
      <c r="Q925" s="690"/>
      <c r="R925" s="690"/>
      <c r="S925" s="690"/>
      <c r="T925" s="690"/>
      <c r="U925" s="690"/>
      <c r="V925" s="690"/>
      <c r="W925" s="690"/>
      <c r="X925" s="690"/>
      <c r="Y925" s="690"/>
      <c r="Z925" s="690"/>
      <c r="AA925" s="690"/>
      <c r="AB925" s="690"/>
      <c r="AC925" s="690"/>
      <c r="AD925" s="690"/>
      <c r="AE925" s="690"/>
    </row>
    <row r="926" spans="1:31" ht="15.75" customHeight="1">
      <c r="A926" s="690"/>
      <c r="B926" s="690"/>
      <c r="C926" s="690"/>
      <c r="D926" s="690"/>
      <c r="E926" s="690"/>
      <c r="F926" s="690"/>
      <c r="G926" s="690"/>
      <c r="H926" s="690"/>
      <c r="I926" s="690"/>
      <c r="J926" s="690"/>
      <c r="K926" s="690"/>
      <c r="L926" s="690"/>
      <c r="M926" s="690"/>
      <c r="N926" s="690"/>
      <c r="O926" s="690"/>
      <c r="P926" s="690"/>
      <c r="Q926" s="690"/>
      <c r="R926" s="690"/>
      <c r="S926" s="690"/>
      <c r="T926" s="690"/>
      <c r="U926" s="690"/>
      <c r="V926" s="690"/>
      <c r="W926" s="690"/>
      <c r="X926" s="690"/>
      <c r="Y926" s="690"/>
      <c r="Z926" s="690"/>
      <c r="AA926" s="690"/>
      <c r="AB926" s="690"/>
      <c r="AC926" s="690"/>
      <c r="AD926" s="690"/>
      <c r="AE926" s="690"/>
    </row>
    <row r="927" spans="1:31" ht="15.75" customHeight="1">
      <c r="A927" s="690"/>
      <c r="B927" s="690"/>
      <c r="C927" s="690"/>
      <c r="D927" s="690"/>
      <c r="E927" s="690"/>
      <c r="F927" s="690"/>
      <c r="G927" s="690"/>
      <c r="H927" s="690"/>
      <c r="I927" s="690"/>
      <c r="J927" s="690"/>
      <c r="K927" s="690"/>
      <c r="L927" s="690"/>
      <c r="M927" s="690"/>
      <c r="N927" s="690"/>
      <c r="O927" s="690"/>
      <c r="P927" s="690"/>
      <c r="Q927" s="690"/>
      <c r="R927" s="690"/>
      <c r="S927" s="690"/>
      <c r="T927" s="690"/>
      <c r="U927" s="690"/>
      <c r="V927" s="690"/>
      <c r="W927" s="690"/>
      <c r="X927" s="690"/>
      <c r="Y927" s="690"/>
      <c r="Z927" s="690"/>
      <c r="AA927" s="690"/>
      <c r="AB927" s="690"/>
      <c r="AC927" s="690"/>
      <c r="AD927" s="690"/>
      <c r="AE927" s="690"/>
    </row>
    <row r="928" spans="1:31" ht="15.75" customHeight="1">
      <c r="A928" s="690"/>
      <c r="B928" s="690"/>
      <c r="C928" s="690"/>
      <c r="D928" s="690"/>
      <c r="E928" s="690"/>
      <c r="F928" s="690"/>
      <c r="G928" s="690"/>
      <c r="H928" s="690"/>
      <c r="I928" s="690"/>
      <c r="J928" s="690"/>
      <c r="K928" s="690"/>
      <c r="L928" s="690"/>
      <c r="M928" s="690"/>
      <c r="N928" s="690"/>
      <c r="O928" s="690"/>
      <c r="P928" s="690"/>
      <c r="Q928" s="690"/>
      <c r="R928" s="690"/>
      <c r="S928" s="690"/>
      <c r="T928" s="690"/>
      <c r="U928" s="690"/>
      <c r="V928" s="690"/>
      <c r="W928" s="690"/>
      <c r="X928" s="690"/>
      <c r="Y928" s="690"/>
      <c r="Z928" s="690"/>
      <c r="AA928" s="690"/>
      <c r="AB928" s="690"/>
      <c r="AC928" s="690"/>
      <c r="AD928" s="690"/>
      <c r="AE928" s="690"/>
    </row>
    <row r="929" spans="1:31" ht="15.75" customHeight="1">
      <c r="A929" s="690"/>
      <c r="B929" s="690"/>
      <c r="C929" s="690"/>
      <c r="D929" s="690"/>
      <c r="E929" s="690"/>
      <c r="F929" s="690"/>
      <c r="G929" s="690"/>
      <c r="H929" s="690"/>
      <c r="I929" s="690"/>
      <c r="J929" s="690"/>
      <c r="K929" s="690"/>
      <c r="L929" s="690"/>
      <c r="M929" s="690"/>
      <c r="N929" s="690"/>
      <c r="O929" s="690"/>
      <c r="P929" s="690"/>
      <c r="Q929" s="690"/>
      <c r="R929" s="690"/>
      <c r="S929" s="690"/>
      <c r="T929" s="690"/>
      <c r="U929" s="690"/>
      <c r="V929" s="690"/>
      <c r="W929" s="690"/>
      <c r="X929" s="690"/>
      <c r="Y929" s="690"/>
      <c r="Z929" s="690"/>
      <c r="AA929" s="690"/>
      <c r="AB929" s="690"/>
      <c r="AC929" s="690"/>
      <c r="AD929" s="690"/>
      <c r="AE929" s="690"/>
    </row>
    <row r="930" spans="1:31" ht="15.75" customHeight="1">
      <c r="A930" s="690"/>
      <c r="B930" s="690"/>
      <c r="C930" s="690"/>
      <c r="D930" s="690"/>
      <c r="E930" s="690"/>
      <c r="F930" s="690"/>
      <c r="G930" s="690"/>
      <c r="H930" s="690"/>
      <c r="I930" s="690"/>
      <c r="J930" s="690"/>
      <c r="K930" s="690"/>
      <c r="L930" s="690"/>
      <c r="M930" s="690"/>
      <c r="N930" s="690"/>
      <c r="O930" s="690"/>
      <c r="P930" s="690"/>
      <c r="Q930" s="690"/>
      <c r="R930" s="690"/>
      <c r="S930" s="690"/>
      <c r="T930" s="690"/>
      <c r="U930" s="690"/>
      <c r="V930" s="690"/>
      <c r="W930" s="690"/>
      <c r="X930" s="690"/>
      <c r="Y930" s="690"/>
      <c r="Z930" s="690"/>
      <c r="AA930" s="690"/>
      <c r="AB930" s="690"/>
      <c r="AC930" s="690"/>
      <c r="AD930" s="690"/>
      <c r="AE930" s="690"/>
    </row>
    <row r="931" spans="1:31" ht="15.75" customHeight="1">
      <c r="A931" s="690"/>
      <c r="B931" s="690"/>
      <c r="C931" s="690"/>
      <c r="D931" s="690"/>
      <c r="E931" s="690"/>
      <c r="F931" s="690"/>
      <c r="G931" s="690"/>
      <c r="H931" s="690"/>
      <c r="I931" s="690"/>
      <c r="J931" s="690"/>
      <c r="K931" s="690"/>
      <c r="L931" s="690"/>
      <c r="M931" s="690"/>
      <c r="N931" s="690"/>
      <c r="O931" s="690"/>
      <c r="P931" s="690"/>
      <c r="Q931" s="690"/>
      <c r="R931" s="690"/>
      <c r="S931" s="690"/>
      <c r="T931" s="690"/>
      <c r="U931" s="690"/>
      <c r="V931" s="690"/>
      <c r="W931" s="690"/>
      <c r="X931" s="690"/>
      <c r="Y931" s="690"/>
      <c r="Z931" s="690"/>
      <c r="AA931" s="690"/>
      <c r="AB931" s="690"/>
      <c r="AC931" s="690"/>
      <c r="AD931" s="690"/>
      <c r="AE931" s="690"/>
    </row>
    <row r="932" spans="1:31" ht="15.75" customHeight="1">
      <c r="A932" s="690"/>
      <c r="B932" s="690"/>
      <c r="C932" s="690"/>
      <c r="D932" s="690"/>
      <c r="E932" s="690"/>
      <c r="F932" s="690"/>
      <c r="G932" s="690"/>
      <c r="H932" s="690"/>
      <c r="I932" s="690"/>
      <c r="J932" s="690"/>
      <c r="K932" s="690"/>
      <c r="L932" s="690"/>
      <c r="M932" s="690"/>
      <c r="N932" s="690"/>
      <c r="O932" s="690"/>
      <c r="P932" s="690"/>
      <c r="Q932" s="690"/>
      <c r="R932" s="690"/>
      <c r="S932" s="690"/>
      <c r="T932" s="690"/>
      <c r="U932" s="690"/>
      <c r="V932" s="690"/>
      <c r="W932" s="690"/>
      <c r="X932" s="690"/>
      <c r="Y932" s="690"/>
      <c r="Z932" s="690"/>
      <c r="AA932" s="690"/>
      <c r="AB932" s="690"/>
      <c r="AC932" s="690"/>
      <c r="AD932" s="690"/>
      <c r="AE932" s="690"/>
    </row>
    <row r="933" spans="1:31" ht="15.75" customHeight="1">
      <c r="A933" s="690"/>
      <c r="B933" s="690"/>
      <c r="C933" s="690"/>
      <c r="D933" s="690"/>
      <c r="E933" s="690"/>
      <c r="F933" s="690"/>
      <c r="G933" s="690"/>
      <c r="H933" s="690"/>
      <c r="I933" s="690"/>
      <c r="J933" s="690"/>
      <c r="K933" s="690"/>
      <c r="L933" s="690"/>
      <c r="M933" s="690"/>
      <c r="N933" s="690"/>
      <c r="O933" s="690"/>
      <c r="P933" s="690"/>
      <c r="Q933" s="690"/>
      <c r="R933" s="690"/>
      <c r="S933" s="690"/>
      <c r="T933" s="690"/>
      <c r="U933" s="690"/>
      <c r="V933" s="690"/>
      <c r="W933" s="690"/>
      <c r="X933" s="690"/>
      <c r="Y933" s="690"/>
      <c r="Z933" s="690"/>
      <c r="AA933" s="690"/>
      <c r="AB933" s="690"/>
      <c r="AC933" s="690"/>
      <c r="AD933" s="690"/>
      <c r="AE933" s="690"/>
    </row>
    <row r="934" spans="1:31" ht="15.75" customHeight="1">
      <c r="A934" s="690"/>
      <c r="B934" s="690"/>
      <c r="C934" s="690"/>
      <c r="D934" s="690"/>
      <c r="E934" s="690"/>
      <c r="F934" s="690"/>
      <c r="G934" s="690"/>
      <c r="H934" s="690"/>
      <c r="I934" s="690"/>
      <c r="J934" s="690"/>
      <c r="K934" s="690"/>
      <c r="L934" s="690"/>
      <c r="M934" s="690"/>
      <c r="N934" s="690"/>
      <c r="O934" s="690"/>
      <c r="P934" s="690"/>
      <c r="Q934" s="690"/>
      <c r="R934" s="690"/>
      <c r="S934" s="690"/>
      <c r="T934" s="690"/>
      <c r="U934" s="690"/>
      <c r="V934" s="690"/>
      <c r="W934" s="690"/>
      <c r="X934" s="690"/>
      <c r="Y934" s="690"/>
      <c r="Z934" s="690"/>
      <c r="AA934" s="690"/>
      <c r="AB934" s="690"/>
      <c r="AC934" s="690"/>
      <c r="AD934" s="690"/>
      <c r="AE934" s="690"/>
    </row>
    <row r="935" spans="1:31" ht="15.75" customHeight="1">
      <c r="A935" s="690"/>
      <c r="B935" s="690"/>
      <c r="C935" s="690"/>
      <c r="D935" s="690"/>
      <c r="E935" s="690"/>
      <c r="F935" s="690"/>
      <c r="G935" s="690"/>
      <c r="H935" s="690"/>
      <c r="I935" s="690"/>
      <c r="J935" s="690"/>
      <c r="K935" s="690"/>
      <c r="L935" s="690"/>
      <c r="M935" s="690"/>
      <c r="N935" s="690"/>
      <c r="O935" s="690"/>
      <c r="P935" s="690"/>
      <c r="Q935" s="690"/>
      <c r="R935" s="690"/>
      <c r="S935" s="690"/>
      <c r="T935" s="690"/>
      <c r="U935" s="690"/>
      <c r="V935" s="690"/>
      <c r="W935" s="690"/>
      <c r="X935" s="690"/>
      <c r="Y935" s="690"/>
      <c r="Z935" s="690"/>
      <c r="AA935" s="690"/>
      <c r="AB935" s="690"/>
      <c r="AC935" s="690"/>
      <c r="AD935" s="690"/>
      <c r="AE935" s="690"/>
    </row>
    <row r="936" spans="1:31" ht="15.75" customHeight="1">
      <c r="A936" s="690"/>
      <c r="B936" s="690"/>
      <c r="C936" s="690"/>
      <c r="D936" s="690"/>
      <c r="E936" s="690"/>
      <c r="F936" s="690"/>
      <c r="G936" s="690"/>
      <c r="H936" s="690"/>
      <c r="I936" s="690"/>
      <c r="J936" s="690"/>
      <c r="K936" s="690"/>
      <c r="L936" s="690"/>
      <c r="M936" s="690"/>
      <c r="N936" s="690"/>
      <c r="O936" s="690"/>
      <c r="P936" s="690"/>
      <c r="Q936" s="690"/>
      <c r="R936" s="690"/>
      <c r="S936" s="690"/>
      <c r="T936" s="690"/>
      <c r="U936" s="690"/>
      <c r="V936" s="690"/>
      <c r="W936" s="690"/>
      <c r="X936" s="690"/>
      <c r="Y936" s="690"/>
      <c r="Z936" s="690"/>
      <c r="AA936" s="690"/>
      <c r="AB936" s="690"/>
      <c r="AC936" s="690"/>
      <c r="AD936" s="690"/>
      <c r="AE936" s="690"/>
    </row>
    <row r="937" spans="1:31" ht="15.75" customHeight="1">
      <c r="A937" s="690"/>
      <c r="B937" s="690"/>
      <c r="C937" s="690"/>
      <c r="D937" s="690"/>
      <c r="E937" s="690"/>
      <c r="F937" s="690"/>
      <c r="G937" s="690"/>
      <c r="H937" s="690"/>
      <c r="I937" s="690"/>
      <c r="J937" s="690"/>
      <c r="K937" s="690"/>
      <c r="L937" s="690"/>
      <c r="M937" s="690"/>
      <c r="N937" s="690"/>
      <c r="O937" s="690"/>
      <c r="P937" s="690"/>
      <c r="Q937" s="690"/>
      <c r="R937" s="690"/>
      <c r="S937" s="690"/>
      <c r="T937" s="690"/>
      <c r="U937" s="690"/>
      <c r="V937" s="690"/>
      <c r="W937" s="690"/>
      <c r="X937" s="690"/>
      <c r="Y937" s="690"/>
      <c r="Z937" s="690"/>
      <c r="AA937" s="690"/>
      <c r="AB937" s="690"/>
      <c r="AC937" s="690"/>
      <c r="AD937" s="690"/>
      <c r="AE937" s="690"/>
    </row>
    <row r="938" spans="1:31" ht="15.75" customHeight="1">
      <c r="A938" s="690"/>
      <c r="B938" s="690"/>
      <c r="C938" s="690"/>
      <c r="D938" s="690"/>
      <c r="E938" s="690"/>
      <c r="F938" s="690"/>
      <c r="G938" s="690"/>
      <c r="H938" s="690"/>
      <c r="I938" s="690"/>
      <c r="J938" s="690"/>
      <c r="K938" s="690"/>
      <c r="L938" s="690"/>
      <c r="M938" s="690"/>
      <c r="N938" s="690"/>
      <c r="O938" s="690"/>
      <c r="P938" s="690"/>
      <c r="Q938" s="690"/>
      <c r="R938" s="690"/>
      <c r="S938" s="690"/>
      <c r="T938" s="690"/>
      <c r="U938" s="690"/>
      <c r="V938" s="690"/>
      <c r="W938" s="690"/>
      <c r="X938" s="690"/>
      <c r="Y938" s="690"/>
      <c r="Z938" s="690"/>
      <c r="AA938" s="690"/>
      <c r="AB938" s="690"/>
      <c r="AC938" s="690"/>
      <c r="AD938" s="690"/>
      <c r="AE938" s="690"/>
    </row>
    <row r="939" spans="1:31" ht="15.75" customHeight="1">
      <c r="A939" s="690"/>
      <c r="B939" s="690"/>
      <c r="C939" s="690"/>
      <c r="D939" s="690"/>
      <c r="E939" s="690"/>
      <c r="F939" s="690"/>
      <c r="G939" s="690"/>
      <c r="H939" s="690"/>
      <c r="I939" s="690"/>
      <c r="J939" s="690"/>
      <c r="K939" s="690"/>
      <c r="L939" s="690"/>
      <c r="M939" s="690"/>
      <c r="N939" s="690"/>
      <c r="O939" s="690"/>
      <c r="P939" s="690"/>
      <c r="Q939" s="690"/>
      <c r="R939" s="690"/>
      <c r="S939" s="690"/>
      <c r="T939" s="690"/>
      <c r="U939" s="690"/>
      <c r="V939" s="690"/>
      <c r="W939" s="690"/>
      <c r="X939" s="690"/>
      <c r="Y939" s="690"/>
      <c r="Z939" s="690"/>
      <c r="AA939" s="690"/>
      <c r="AB939" s="690"/>
      <c r="AC939" s="690"/>
      <c r="AD939" s="690"/>
      <c r="AE939" s="690"/>
    </row>
    <row r="940" spans="1:31" ht="15.75" customHeight="1">
      <c r="A940" s="690"/>
      <c r="B940" s="690"/>
      <c r="C940" s="690"/>
      <c r="D940" s="690"/>
      <c r="E940" s="690"/>
      <c r="F940" s="690"/>
      <c r="G940" s="690"/>
      <c r="H940" s="690"/>
      <c r="I940" s="690"/>
      <c r="J940" s="690"/>
      <c r="K940" s="690"/>
      <c r="L940" s="690"/>
      <c r="M940" s="690"/>
      <c r="N940" s="690"/>
      <c r="O940" s="690"/>
      <c r="P940" s="690"/>
      <c r="Q940" s="690"/>
      <c r="R940" s="690"/>
      <c r="S940" s="690"/>
      <c r="T940" s="690"/>
      <c r="U940" s="690"/>
      <c r="V940" s="690"/>
      <c r="W940" s="690"/>
      <c r="X940" s="690"/>
      <c r="Y940" s="690"/>
      <c r="Z940" s="690"/>
      <c r="AA940" s="690"/>
      <c r="AB940" s="690"/>
      <c r="AC940" s="690"/>
      <c r="AD940" s="690"/>
      <c r="AE940" s="690"/>
    </row>
    <row r="941" spans="1:31" ht="15.75" customHeight="1">
      <c r="A941" s="690"/>
      <c r="B941" s="690"/>
      <c r="C941" s="690"/>
      <c r="D941" s="690"/>
      <c r="E941" s="690"/>
      <c r="F941" s="690"/>
      <c r="G941" s="690"/>
      <c r="H941" s="690"/>
      <c r="I941" s="690"/>
      <c r="J941" s="690"/>
      <c r="K941" s="690"/>
      <c r="L941" s="690"/>
      <c r="M941" s="690"/>
      <c r="N941" s="690"/>
      <c r="O941" s="690"/>
      <c r="P941" s="690"/>
      <c r="Q941" s="690"/>
      <c r="R941" s="690"/>
      <c r="S941" s="690"/>
      <c r="T941" s="690"/>
      <c r="U941" s="690"/>
      <c r="V941" s="690"/>
      <c r="W941" s="690"/>
      <c r="X941" s="690"/>
      <c r="Y941" s="690"/>
      <c r="Z941" s="690"/>
      <c r="AA941" s="690"/>
      <c r="AB941" s="690"/>
      <c r="AC941" s="690"/>
      <c r="AD941" s="690"/>
      <c r="AE941" s="690"/>
    </row>
    <row r="942" spans="1:31" ht="15.75" customHeight="1">
      <c r="A942" s="690"/>
      <c r="B942" s="690"/>
      <c r="C942" s="690"/>
      <c r="D942" s="690"/>
      <c r="E942" s="690"/>
      <c r="F942" s="690"/>
      <c r="G942" s="690"/>
      <c r="H942" s="690"/>
      <c r="I942" s="690"/>
      <c r="J942" s="690"/>
      <c r="K942" s="690"/>
      <c r="L942" s="690"/>
      <c r="M942" s="690"/>
      <c r="N942" s="690"/>
      <c r="O942" s="690"/>
      <c r="P942" s="690"/>
      <c r="Q942" s="690"/>
      <c r="R942" s="690"/>
      <c r="S942" s="690"/>
      <c r="T942" s="690"/>
      <c r="U942" s="690"/>
      <c r="V942" s="690"/>
      <c r="W942" s="690"/>
      <c r="X942" s="690"/>
      <c r="Y942" s="690"/>
      <c r="Z942" s="690"/>
      <c r="AA942" s="690"/>
      <c r="AB942" s="690"/>
      <c r="AC942" s="690"/>
      <c r="AD942" s="690"/>
      <c r="AE942" s="690"/>
    </row>
    <row r="943" spans="1:31" ht="15.75" customHeight="1">
      <c r="A943" s="690"/>
      <c r="B943" s="690"/>
      <c r="C943" s="690"/>
      <c r="D943" s="690"/>
      <c r="E943" s="690"/>
      <c r="F943" s="690"/>
      <c r="G943" s="690"/>
      <c r="H943" s="690"/>
      <c r="I943" s="690"/>
      <c r="J943" s="690"/>
      <c r="K943" s="690"/>
      <c r="L943" s="690"/>
      <c r="M943" s="690"/>
      <c r="N943" s="690"/>
      <c r="O943" s="690"/>
      <c r="P943" s="690"/>
      <c r="Q943" s="690"/>
      <c r="R943" s="690"/>
      <c r="S943" s="690"/>
      <c r="T943" s="690"/>
      <c r="U943" s="690"/>
      <c r="V943" s="690"/>
      <c r="W943" s="690"/>
      <c r="X943" s="690"/>
      <c r="Y943" s="690"/>
      <c r="Z943" s="690"/>
      <c r="AA943" s="690"/>
      <c r="AB943" s="690"/>
      <c r="AC943" s="690"/>
      <c r="AD943" s="690"/>
      <c r="AE943" s="690"/>
    </row>
    <row r="944" spans="1:31" ht="15.75" customHeight="1">
      <c r="A944" s="690"/>
      <c r="B944" s="690"/>
      <c r="C944" s="690"/>
      <c r="D944" s="690"/>
      <c r="E944" s="690"/>
      <c r="F944" s="690"/>
      <c r="G944" s="690"/>
      <c r="H944" s="690"/>
      <c r="I944" s="690"/>
      <c r="J944" s="690"/>
      <c r="K944" s="690"/>
      <c r="L944" s="690"/>
      <c r="M944" s="690"/>
      <c r="N944" s="690"/>
      <c r="O944" s="690"/>
      <c r="P944" s="690"/>
      <c r="Q944" s="690"/>
      <c r="R944" s="690"/>
      <c r="S944" s="690"/>
      <c r="T944" s="690"/>
      <c r="U944" s="690"/>
      <c r="V944" s="690"/>
      <c r="W944" s="690"/>
      <c r="X944" s="690"/>
      <c r="Y944" s="690"/>
      <c r="Z944" s="690"/>
      <c r="AA944" s="690"/>
      <c r="AB944" s="690"/>
      <c r="AC944" s="690"/>
      <c r="AD944" s="690"/>
      <c r="AE944" s="690"/>
    </row>
    <row r="945" spans="1:31" ht="15.75" customHeight="1">
      <c r="A945" s="690"/>
      <c r="B945" s="690"/>
      <c r="C945" s="690"/>
      <c r="D945" s="690"/>
      <c r="E945" s="690"/>
      <c r="F945" s="690"/>
      <c r="G945" s="690"/>
      <c r="H945" s="690"/>
      <c r="I945" s="690"/>
      <c r="J945" s="690"/>
      <c r="K945" s="690"/>
      <c r="L945" s="690"/>
      <c r="M945" s="690"/>
      <c r="N945" s="690"/>
      <c r="O945" s="690"/>
      <c r="P945" s="690"/>
      <c r="Q945" s="690"/>
      <c r="R945" s="690"/>
      <c r="S945" s="690"/>
      <c r="T945" s="690"/>
      <c r="U945" s="690"/>
      <c r="V945" s="690"/>
      <c r="W945" s="690"/>
      <c r="X945" s="690"/>
      <c r="Y945" s="690"/>
      <c r="Z945" s="690"/>
      <c r="AA945" s="690"/>
      <c r="AB945" s="690"/>
      <c r="AC945" s="690"/>
      <c r="AD945" s="690"/>
      <c r="AE945" s="690"/>
    </row>
    <row r="946" spans="1:31" ht="15.75" customHeight="1">
      <c r="A946" s="690"/>
      <c r="B946" s="690"/>
      <c r="C946" s="690"/>
      <c r="D946" s="690"/>
      <c r="E946" s="690"/>
      <c r="F946" s="690"/>
      <c r="G946" s="690"/>
      <c r="H946" s="690"/>
      <c r="I946" s="690"/>
      <c r="J946" s="690"/>
      <c r="K946" s="690"/>
      <c r="L946" s="690"/>
      <c r="M946" s="690"/>
      <c r="N946" s="690"/>
      <c r="O946" s="690"/>
      <c r="P946" s="690"/>
      <c r="Q946" s="690"/>
      <c r="R946" s="690"/>
      <c r="S946" s="690"/>
      <c r="T946" s="690"/>
      <c r="U946" s="690"/>
      <c r="V946" s="690"/>
      <c r="W946" s="690"/>
      <c r="X946" s="690"/>
      <c r="Y946" s="690"/>
      <c r="Z946" s="690"/>
      <c r="AA946" s="690"/>
      <c r="AB946" s="690"/>
      <c r="AC946" s="690"/>
      <c r="AD946" s="690"/>
      <c r="AE946" s="690"/>
    </row>
    <row r="947" spans="1:31" ht="15.75" customHeight="1">
      <c r="A947" s="690"/>
      <c r="B947" s="690"/>
      <c r="C947" s="690"/>
      <c r="D947" s="690"/>
      <c r="E947" s="690"/>
      <c r="F947" s="690"/>
      <c r="G947" s="690"/>
      <c r="H947" s="690"/>
      <c r="I947" s="690"/>
      <c r="J947" s="690"/>
      <c r="K947" s="690"/>
      <c r="L947" s="690"/>
      <c r="M947" s="690"/>
      <c r="N947" s="690"/>
      <c r="O947" s="690"/>
      <c r="P947" s="690"/>
      <c r="Q947" s="690"/>
      <c r="R947" s="690"/>
      <c r="S947" s="690"/>
      <c r="T947" s="690"/>
      <c r="U947" s="690"/>
      <c r="V947" s="690"/>
      <c r="W947" s="690"/>
      <c r="X947" s="690"/>
      <c r="Y947" s="690"/>
      <c r="Z947" s="690"/>
      <c r="AA947" s="690"/>
      <c r="AB947" s="690"/>
      <c r="AC947" s="690"/>
      <c r="AD947" s="690"/>
      <c r="AE947" s="690"/>
    </row>
    <row r="948" spans="1:31" ht="15.75" customHeight="1">
      <c r="A948" s="690"/>
      <c r="B948" s="690"/>
      <c r="C948" s="690"/>
      <c r="D948" s="690"/>
      <c r="E948" s="690"/>
      <c r="F948" s="690"/>
      <c r="G948" s="690"/>
      <c r="H948" s="690"/>
      <c r="I948" s="690"/>
      <c r="J948" s="690"/>
      <c r="K948" s="690"/>
      <c r="L948" s="690"/>
      <c r="M948" s="690"/>
      <c r="N948" s="690"/>
      <c r="O948" s="690"/>
      <c r="P948" s="690"/>
      <c r="Q948" s="690"/>
      <c r="R948" s="690"/>
      <c r="S948" s="690"/>
      <c r="T948" s="690"/>
      <c r="U948" s="690"/>
      <c r="V948" s="690"/>
      <c r="W948" s="690"/>
      <c r="X948" s="690"/>
      <c r="Y948" s="690"/>
      <c r="Z948" s="690"/>
      <c r="AA948" s="690"/>
      <c r="AB948" s="690"/>
      <c r="AC948" s="690"/>
      <c r="AD948" s="690"/>
      <c r="AE948" s="690"/>
    </row>
    <row r="949" spans="1:31" ht="15.75" customHeight="1">
      <c r="A949" s="690"/>
      <c r="B949" s="690"/>
      <c r="C949" s="690"/>
      <c r="D949" s="690"/>
      <c r="E949" s="690"/>
      <c r="F949" s="690"/>
      <c r="G949" s="690"/>
      <c r="H949" s="690"/>
      <c r="I949" s="690"/>
      <c r="J949" s="690"/>
      <c r="K949" s="690"/>
      <c r="L949" s="690"/>
      <c r="M949" s="690"/>
      <c r="N949" s="690"/>
      <c r="O949" s="690"/>
      <c r="P949" s="690"/>
      <c r="Q949" s="690"/>
      <c r="R949" s="690"/>
      <c r="S949" s="690"/>
      <c r="T949" s="690"/>
      <c r="U949" s="690"/>
      <c r="V949" s="690"/>
      <c r="W949" s="690"/>
      <c r="X949" s="690"/>
      <c r="Y949" s="690"/>
      <c r="Z949" s="690"/>
      <c r="AA949" s="690"/>
      <c r="AB949" s="690"/>
      <c r="AC949" s="690"/>
      <c r="AD949" s="690"/>
      <c r="AE949" s="690"/>
    </row>
    <row r="950" spans="1:31" ht="15.75" customHeight="1">
      <c r="A950" s="690"/>
      <c r="B950" s="690"/>
      <c r="C950" s="690"/>
      <c r="D950" s="690"/>
      <c r="E950" s="690"/>
      <c r="F950" s="690"/>
      <c r="G950" s="690"/>
      <c r="H950" s="690"/>
      <c r="I950" s="690"/>
      <c r="J950" s="690"/>
      <c r="K950" s="690"/>
      <c r="L950" s="690"/>
      <c r="M950" s="690"/>
      <c r="N950" s="690"/>
      <c r="O950" s="690"/>
      <c r="P950" s="690"/>
      <c r="Q950" s="690"/>
      <c r="R950" s="690"/>
      <c r="S950" s="690"/>
      <c r="T950" s="690"/>
      <c r="U950" s="690"/>
      <c r="V950" s="690"/>
      <c r="W950" s="690"/>
      <c r="X950" s="690"/>
      <c r="Y950" s="690"/>
      <c r="Z950" s="690"/>
      <c r="AA950" s="690"/>
      <c r="AB950" s="690"/>
      <c r="AC950" s="690"/>
      <c r="AD950" s="690"/>
      <c r="AE950" s="690"/>
    </row>
    <row r="951" spans="1:31" ht="15.75" customHeight="1">
      <c r="A951" s="690"/>
      <c r="B951" s="690"/>
      <c r="C951" s="690"/>
      <c r="D951" s="690"/>
      <c r="E951" s="690"/>
      <c r="F951" s="690"/>
      <c r="G951" s="690"/>
      <c r="H951" s="690"/>
      <c r="I951" s="690"/>
      <c r="J951" s="690"/>
      <c r="K951" s="690"/>
      <c r="L951" s="690"/>
      <c r="M951" s="690"/>
      <c r="N951" s="690"/>
      <c r="O951" s="690"/>
      <c r="P951" s="690"/>
      <c r="Q951" s="690"/>
      <c r="R951" s="690"/>
      <c r="S951" s="690"/>
      <c r="T951" s="690"/>
      <c r="U951" s="690"/>
      <c r="V951" s="690"/>
      <c r="W951" s="690"/>
      <c r="X951" s="690"/>
      <c r="Y951" s="690"/>
      <c r="Z951" s="690"/>
      <c r="AA951" s="690"/>
      <c r="AB951" s="690"/>
      <c r="AC951" s="690"/>
      <c r="AD951" s="690"/>
      <c r="AE951" s="690"/>
    </row>
    <row r="952" spans="1:31" ht="15.75" customHeight="1">
      <c r="A952" s="690"/>
      <c r="B952" s="690"/>
      <c r="C952" s="690"/>
      <c r="D952" s="690"/>
      <c r="E952" s="690"/>
      <c r="F952" s="690"/>
      <c r="G952" s="690"/>
      <c r="H952" s="690"/>
      <c r="I952" s="690"/>
      <c r="J952" s="690"/>
      <c r="K952" s="690"/>
      <c r="L952" s="690"/>
      <c r="M952" s="690"/>
      <c r="N952" s="690"/>
      <c r="O952" s="690"/>
      <c r="P952" s="690"/>
      <c r="Q952" s="690"/>
      <c r="R952" s="690"/>
      <c r="S952" s="690"/>
      <c r="T952" s="690"/>
      <c r="U952" s="690"/>
      <c r="V952" s="690"/>
      <c r="W952" s="690"/>
      <c r="X952" s="690"/>
      <c r="Y952" s="690"/>
      <c r="Z952" s="690"/>
      <c r="AA952" s="690"/>
      <c r="AB952" s="690"/>
      <c r="AC952" s="690"/>
      <c r="AD952" s="690"/>
      <c r="AE952" s="690"/>
    </row>
    <row r="953" spans="1:31" ht="15.75" customHeight="1">
      <c r="A953" s="690"/>
      <c r="B953" s="690"/>
      <c r="C953" s="690"/>
      <c r="D953" s="690"/>
      <c r="E953" s="690"/>
      <c r="F953" s="690"/>
      <c r="G953" s="690"/>
      <c r="H953" s="690"/>
      <c r="I953" s="690"/>
      <c r="J953" s="690"/>
      <c r="K953" s="690"/>
      <c r="L953" s="690"/>
      <c r="M953" s="690"/>
      <c r="N953" s="690"/>
      <c r="O953" s="690"/>
      <c r="P953" s="690"/>
      <c r="Q953" s="690"/>
      <c r="R953" s="690"/>
      <c r="S953" s="690"/>
      <c r="T953" s="690"/>
      <c r="U953" s="690"/>
      <c r="V953" s="690"/>
      <c r="W953" s="690"/>
      <c r="X953" s="690"/>
      <c r="Y953" s="690"/>
      <c r="Z953" s="690"/>
      <c r="AA953" s="690"/>
      <c r="AB953" s="690"/>
      <c r="AC953" s="690"/>
      <c r="AD953" s="690"/>
      <c r="AE953" s="690"/>
    </row>
    <row r="954" spans="1:31" ht="15.75" customHeight="1">
      <c r="A954" s="690"/>
      <c r="B954" s="690"/>
      <c r="C954" s="690"/>
      <c r="D954" s="690"/>
      <c r="E954" s="690"/>
      <c r="F954" s="690"/>
      <c r="G954" s="690"/>
      <c r="H954" s="690"/>
      <c r="I954" s="690"/>
      <c r="J954" s="690"/>
      <c r="K954" s="690"/>
      <c r="L954" s="690"/>
      <c r="M954" s="690"/>
      <c r="N954" s="690"/>
      <c r="O954" s="690"/>
      <c r="P954" s="690"/>
      <c r="Q954" s="690"/>
      <c r="R954" s="690"/>
      <c r="S954" s="690"/>
      <c r="T954" s="690"/>
      <c r="U954" s="690"/>
      <c r="V954" s="690"/>
      <c r="W954" s="690"/>
      <c r="X954" s="690"/>
      <c r="Y954" s="690"/>
      <c r="Z954" s="690"/>
      <c r="AA954" s="690"/>
      <c r="AB954" s="690"/>
      <c r="AC954" s="690"/>
      <c r="AD954" s="690"/>
      <c r="AE954" s="690"/>
    </row>
    <row r="955" spans="1:31" ht="15.75" customHeight="1">
      <c r="A955" s="690"/>
      <c r="B955" s="690"/>
      <c r="C955" s="690"/>
      <c r="D955" s="690"/>
      <c r="E955" s="690"/>
      <c r="F955" s="690"/>
      <c r="G955" s="690"/>
      <c r="H955" s="690"/>
      <c r="I955" s="690"/>
      <c r="J955" s="690"/>
      <c r="K955" s="690"/>
      <c r="L955" s="690"/>
      <c r="M955" s="690"/>
      <c r="N955" s="690"/>
      <c r="O955" s="690"/>
      <c r="P955" s="690"/>
      <c r="Q955" s="690"/>
      <c r="R955" s="690"/>
      <c r="S955" s="690"/>
      <c r="T955" s="690"/>
      <c r="U955" s="690"/>
      <c r="V955" s="690"/>
      <c r="W955" s="690"/>
      <c r="X955" s="690"/>
      <c r="Y955" s="690"/>
      <c r="Z955" s="690"/>
      <c r="AA955" s="690"/>
      <c r="AB955" s="690"/>
      <c r="AC955" s="690"/>
      <c r="AD955" s="690"/>
      <c r="AE955" s="690"/>
    </row>
    <row r="956" spans="1:31" ht="15.75" customHeight="1">
      <c r="A956" s="690"/>
      <c r="B956" s="690"/>
      <c r="C956" s="690"/>
      <c r="D956" s="690"/>
      <c r="E956" s="690"/>
      <c r="F956" s="690"/>
      <c r="G956" s="690"/>
      <c r="H956" s="690"/>
      <c r="I956" s="690"/>
      <c r="J956" s="690"/>
      <c r="K956" s="690"/>
      <c r="L956" s="690"/>
      <c r="M956" s="690"/>
      <c r="N956" s="690"/>
      <c r="O956" s="690"/>
      <c r="P956" s="690"/>
      <c r="Q956" s="690"/>
      <c r="R956" s="690"/>
      <c r="S956" s="690"/>
      <c r="T956" s="690"/>
      <c r="U956" s="690"/>
      <c r="V956" s="690"/>
      <c r="W956" s="690"/>
      <c r="X956" s="690"/>
      <c r="Y956" s="690"/>
      <c r="Z956" s="690"/>
      <c r="AA956" s="690"/>
      <c r="AB956" s="690"/>
      <c r="AC956" s="690"/>
      <c r="AD956" s="690"/>
      <c r="AE956" s="690"/>
    </row>
    <row r="957" spans="1:31" ht="15.75" customHeight="1">
      <c r="A957" s="690"/>
      <c r="B957" s="690"/>
      <c r="C957" s="690"/>
      <c r="D957" s="690"/>
      <c r="E957" s="690"/>
      <c r="F957" s="690"/>
      <c r="G957" s="690"/>
      <c r="H957" s="690"/>
      <c r="I957" s="690"/>
      <c r="J957" s="690"/>
      <c r="K957" s="690"/>
      <c r="L957" s="690"/>
      <c r="M957" s="690"/>
      <c r="N957" s="690"/>
      <c r="O957" s="690"/>
      <c r="P957" s="690"/>
      <c r="Q957" s="690"/>
      <c r="R957" s="690"/>
      <c r="S957" s="690"/>
      <c r="T957" s="690"/>
      <c r="U957" s="690"/>
      <c r="V957" s="690"/>
      <c r="W957" s="690"/>
      <c r="X957" s="690"/>
      <c r="Y957" s="690"/>
      <c r="Z957" s="690"/>
      <c r="AA957" s="690"/>
      <c r="AB957" s="690"/>
      <c r="AC957" s="690"/>
      <c r="AD957" s="690"/>
      <c r="AE957" s="690"/>
    </row>
    <row r="958" spans="1:31" ht="15.75" customHeight="1">
      <c r="A958" s="690"/>
      <c r="B958" s="690"/>
      <c r="C958" s="690"/>
      <c r="D958" s="690"/>
      <c r="E958" s="690"/>
      <c r="F958" s="690"/>
      <c r="G958" s="690"/>
      <c r="H958" s="690"/>
      <c r="I958" s="690"/>
      <c r="J958" s="690"/>
      <c r="K958" s="690"/>
      <c r="L958" s="690"/>
      <c r="M958" s="690"/>
      <c r="N958" s="690"/>
      <c r="O958" s="690"/>
      <c r="P958" s="690"/>
      <c r="Q958" s="690"/>
      <c r="R958" s="690"/>
      <c r="S958" s="690"/>
      <c r="T958" s="690"/>
      <c r="U958" s="690"/>
      <c r="V958" s="690"/>
      <c r="W958" s="690"/>
      <c r="X958" s="690"/>
      <c r="Y958" s="690"/>
      <c r="Z958" s="690"/>
      <c r="AA958" s="690"/>
      <c r="AB958" s="690"/>
      <c r="AC958" s="690"/>
      <c r="AD958" s="690"/>
      <c r="AE958" s="690"/>
    </row>
    <row r="959" spans="1:31" ht="15.75" customHeight="1">
      <c r="A959" s="690"/>
      <c r="B959" s="690"/>
      <c r="C959" s="690"/>
      <c r="D959" s="690"/>
      <c r="E959" s="690"/>
      <c r="F959" s="690"/>
      <c r="G959" s="690"/>
      <c r="H959" s="690"/>
      <c r="I959" s="690"/>
      <c r="J959" s="690"/>
      <c r="K959" s="690"/>
      <c r="L959" s="690"/>
      <c r="M959" s="690"/>
      <c r="N959" s="690"/>
      <c r="O959" s="690"/>
      <c r="P959" s="690"/>
      <c r="Q959" s="690"/>
      <c r="R959" s="690"/>
      <c r="S959" s="690"/>
      <c r="T959" s="690"/>
      <c r="U959" s="690"/>
      <c r="V959" s="690"/>
      <c r="W959" s="690"/>
      <c r="X959" s="690"/>
      <c r="Y959" s="690"/>
      <c r="Z959" s="690"/>
      <c r="AA959" s="690"/>
      <c r="AB959" s="690"/>
      <c r="AC959" s="690"/>
      <c r="AD959" s="690"/>
      <c r="AE959" s="690"/>
    </row>
    <row r="960" spans="1:31" ht="15.75" customHeight="1">
      <c r="A960" s="690"/>
      <c r="B960" s="690"/>
      <c r="C960" s="690"/>
      <c r="D960" s="690"/>
      <c r="E960" s="690"/>
      <c r="F960" s="690"/>
      <c r="G960" s="690"/>
      <c r="H960" s="690"/>
      <c r="I960" s="690"/>
      <c r="J960" s="690"/>
      <c r="K960" s="690"/>
      <c r="L960" s="690"/>
      <c r="M960" s="690"/>
      <c r="N960" s="690"/>
      <c r="O960" s="690"/>
      <c r="P960" s="690"/>
      <c r="Q960" s="690"/>
      <c r="R960" s="690"/>
      <c r="S960" s="690"/>
      <c r="T960" s="690"/>
      <c r="U960" s="690"/>
      <c r="V960" s="690"/>
      <c r="W960" s="690"/>
      <c r="X960" s="690"/>
      <c r="Y960" s="690"/>
      <c r="Z960" s="690"/>
      <c r="AA960" s="690"/>
      <c r="AB960" s="690"/>
      <c r="AC960" s="690"/>
      <c r="AD960" s="690"/>
      <c r="AE960" s="690"/>
    </row>
    <row r="961" spans="1:31" ht="15.75" customHeight="1">
      <c r="A961" s="690"/>
      <c r="B961" s="690"/>
      <c r="C961" s="690"/>
      <c r="D961" s="690"/>
      <c r="E961" s="690"/>
      <c r="F961" s="690"/>
      <c r="G961" s="690"/>
      <c r="H961" s="690"/>
      <c r="I961" s="690"/>
      <c r="J961" s="690"/>
      <c r="K961" s="690"/>
      <c r="L961" s="690"/>
      <c r="M961" s="690"/>
      <c r="N961" s="690"/>
      <c r="O961" s="690"/>
      <c r="P961" s="690"/>
      <c r="Q961" s="690"/>
      <c r="R961" s="690"/>
      <c r="S961" s="690"/>
      <c r="T961" s="690"/>
      <c r="U961" s="690"/>
      <c r="V961" s="690"/>
      <c r="W961" s="690"/>
      <c r="X961" s="690"/>
      <c r="Y961" s="690"/>
      <c r="Z961" s="690"/>
      <c r="AA961" s="690"/>
      <c r="AB961" s="690"/>
      <c r="AC961" s="690"/>
      <c r="AD961" s="690"/>
      <c r="AE961" s="690"/>
    </row>
    <row r="962" spans="1:31" ht="15.75" customHeight="1">
      <c r="A962" s="690"/>
      <c r="B962" s="690"/>
      <c r="C962" s="690"/>
      <c r="D962" s="690"/>
      <c r="E962" s="690"/>
      <c r="F962" s="690"/>
      <c r="G962" s="690"/>
      <c r="H962" s="690"/>
      <c r="I962" s="690"/>
      <c r="J962" s="690"/>
      <c r="K962" s="690"/>
      <c r="L962" s="690"/>
      <c r="M962" s="690"/>
      <c r="N962" s="690"/>
      <c r="O962" s="690"/>
      <c r="P962" s="690"/>
      <c r="Q962" s="690"/>
      <c r="R962" s="690"/>
      <c r="S962" s="690"/>
      <c r="T962" s="690"/>
      <c r="U962" s="690"/>
      <c r="V962" s="690"/>
      <c r="W962" s="690"/>
      <c r="X962" s="690"/>
      <c r="Y962" s="690"/>
      <c r="Z962" s="690"/>
      <c r="AA962" s="690"/>
      <c r="AB962" s="690"/>
      <c r="AC962" s="690"/>
      <c r="AD962" s="690"/>
      <c r="AE962" s="690"/>
    </row>
    <row r="963" spans="1:31" ht="15.75" customHeight="1">
      <c r="A963" s="690"/>
      <c r="B963" s="690"/>
      <c r="C963" s="690"/>
      <c r="D963" s="690"/>
      <c r="E963" s="690"/>
      <c r="F963" s="690"/>
      <c r="G963" s="690"/>
      <c r="H963" s="690"/>
      <c r="I963" s="690"/>
      <c r="J963" s="690"/>
      <c r="K963" s="690"/>
      <c r="L963" s="690"/>
      <c r="M963" s="690"/>
      <c r="N963" s="690"/>
      <c r="O963" s="690"/>
      <c r="P963" s="690"/>
      <c r="Q963" s="690"/>
      <c r="R963" s="690"/>
      <c r="S963" s="690"/>
      <c r="T963" s="690"/>
      <c r="U963" s="690"/>
      <c r="V963" s="690"/>
      <c r="W963" s="690"/>
      <c r="X963" s="690"/>
      <c r="Y963" s="690"/>
      <c r="Z963" s="690"/>
      <c r="AA963" s="690"/>
      <c r="AB963" s="690"/>
      <c r="AC963" s="690"/>
      <c r="AD963" s="690"/>
      <c r="AE963" s="690"/>
    </row>
    <row r="964" spans="1:31" ht="15.75" customHeight="1">
      <c r="A964" s="690"/>
      <c r="B964" s="690"/>
      <c r="C964" s="690"/>
      <c r="D964" s="690"/>
      <c r="E964" s="690"/>
      <c r="F964" s="690"/>
      <c r="G964" s="690"/>
      <c r="H964" s="690"/>
      <c r="I964" s="690"/>
      <c r="J964" s="690"/>
      <c r="K964" s="690"/>
      <c r="L964" s="690"/>
      <c r="M964" s="690"/>
      <c r="N964" s="690"/>
      <c r="O964" s="690"/>
      <c r="P964" s="690"/>
      <c r="Q964" s="690"/>
      <c r="R964" s="690"/>
      <c r="S964" s="690"/>
      <c r="T964" s="690"/>
      <c r="U964" s="690"/>
      <c r="V964" s="690"/>
      <c r="W964" s="690"/>
      <c r="X964" s="690"/>
      <c r="Y964" s="690"/>
      <c r="Z964" s="690"/>
      <c r="AA964" s="690"/>
      <c r="AB964" s="690"/>
      <c r="AC964" s="690"/>
      <c r="AD964" s="690"/>
      <c r="AE964" s="690"/>
    </row>
    <row r="965" spans="1:31" ht="15.75" customHeight="1">
      <c r="A965" s="690"/>
      <c r="B965" s="690"/>
      <c r="C965" s="690"/>
      <c r="D965" s="690"/>
      <c r="E965" s="690"/>
      <c r="F965" s="690"/>
      <c r="G965" s="690"/>
      <c r="H965" s="690"/>
      <c r="I965" s="690"/>
      <c r="J965" s="690"/>
      <c r="K965" s="690"/>
      <c r="L965" s="690"/>
      <c r="M965" s="690"/>
      <c r="N965" s="690"/>
      <c r="O965" s="690"/>
      <c r="P965" s="690"/>
      <c r="Q965" s="690"/>
      <c r="R965" s="690"/>
      <c r="S965" s="690"/>
      <c r="T965" s="690"/>
      <c r="U965" s="690"/>
      <c r="V965" s="690"/>
      <c r="W965" s="690"/>
      <c r="X965" s="690"/>
      <c r="Y965" s="690"/>
      <c r="Z965" s="690"/>
      <c r="AA965" s="690"/>
      <c r="AB965" s="690"/>
      <c r="AC965" s="690"/>
      <c r="AD965" s="690"/>
      <c r="AE965" s="690"/>
    </row>
    <row r="966" spans="1:31" ht="15.75" customHeight="1">
      <c r="A966" s="690"/>
      <c r="B966" s="690"/>
      <c r="C966" s="690"/>
      <c r="D966" s="690"/>
      <c r="E966" s="690"/>
      <c r="F966" s="690"/>
      <c r="G966" s="690"/>
      <c r="H966" s="690"/>
      <c r="I966" s="690"/>
      <c r="J966" s="690"/>
      <c r="K966" s="690"/>
      <c r="L966" s="690"/>
      <c r="M966" s="690"/>
      <c r="N966" s="690"/>
      <c r="O966" s="690"/>
      <c r="P966" s="690"/>
      <c r="Q966" s="690"/>
      <c r="R966" s="690"/>
      <c r="S966" s="690"/>
      <c r="T966" s="690"/>
      <c r="U966" s="690"/>
      <c r="V966" s="690"/>
      <c r="W966" s="690"/>
      <c r="X966" s="690"/>
      <c r="Y966" s="690"/>
      <c r="Z966" s="690"/>
      <c r="AA966" s="690"/>
      <c r="AB966" s="690"/>
      <c r="AC966" s="690"/>
      <c r="AD966" s="690"/>
      <c r="AE966" s="690"/>
    </row>
    <row r="967" spans="1:31" ht="15.75" customHeight="1">
      <c r="A967" s="690"/>
      <c r="B967" s="690"/>
      <c r="C967" s="690"/>
      <c r="D967" s="690"/>
      <c r="E967" s="690"/>
      <c r="F967" s="690"/>
      <c r="G967" s="690"/>
      <c r="H967" s="690"/>
      <c r="I967" s="690"/>
      <c r="J967" s="690"/>
      <c r="K967" s="690"/>
      <c r="L967" s="690"/>
      <c r="M967" s="690"/>
      <c r="N967" s="690"/>
      <c r="O967" s="690"/>
      <c r="P967" s="690"/>
      <c r="Q967" s="690"/>
      <c r="R967" s="690"/>
      <c r="S967" s="690"/>
      <c r="T967" s="690"/>
      <c r="U967" s="690"/>
      <c r="V967" s="690"/>
      <c r="W967" s="690"/>
      <c r="X967" s="690"/>
      <c r="Y967" s="690"/>
      <c r="Z967" s="690"/>
      <c r="AA967" s="690"/>
      <c r="AB967" s="690"/>
      <c r="AC967" s="690"/>
      <c r="AD967" s="690"/>
      <c r="AE967" s="690"/>
    </row>
    <row r="968" spans="1:31" ht="15.75" customHeight="1">
      <c r="A968" s="690"/>
      <c r="B968" s="690"/>
      <c r="C968" s="690"/>
      <c r="D968" s="690"/>
      <c r="E968" s="690"/>
      <c r="F968" s="690"/>
      <c r="G968" s="690"/>
      <c r="H968" s="690"/>
      <c r="I968" s="690"/>
      <c r="J968" s="690"/>
      <c r="K968" s="690"/>
      <c r="L968" s="690"/>
      <c r="M968" s="690"/>
      <c r="N968" s="690"/>
      <c r="O968" s="690"/>
      <c r="P968" s="690"/>
      <c r="Q968" s="690"/>
      <c r="R968" s="690"/>
      <c r="S968" s="690"/>
      <c r="T968" s="690"/>
      <c r="U968" s="690"/>
      <c r="V968" s="690"/>
      <c r="W968" s="690"/>
      <c r="X968" s="690"/>
      <c r="Y968" s="690"/>
      <c r="Z968" s="690"/>
      <c r="AA968" s="690"/>
      <c r="AB968" s="690"/>
      <c r="AC968" s="690"/>
      <c r="AD968" s="690"/>
      <c r="AE968" s="690"/>
    </row>
    <row r="969" spans="1:31" ht="15.75" customHeight="1">
      <c r="A969" s="690"/>
      <c r="B969" s="690"/>
      <c r="C969" s="690"/>
      <c r="D969" s="690"/>
      <c r="E969" s="690"/>
      <c r="F969" s="690"/>
      <c r="G969" s="690"/>
      <c r="H969" s="690"/>
      <c r="I969" s="690"/>
      <c r="J969" s="690"/>
      <c r="K969" s="690"/>
      <c r="L969" s="690"/>
      <c r="M969" s="690"/>
      <c r="N969" s="690"/>
      <c r="O969" s="690"/>
      <c r="P969" s="690"/>
      <c r="Q969" s="690"/>
      <c r="R969" s="690"/>
      <c r="S969" s="690"/>
      <c r="T969" s="690"/>
      <c r="U969" s="690"/>
      <c r="V969" s="690"/>
      <c r="W969" s="690"/>
      <c r="X969" s="690"/>
      <c r="Y969" s="690"/>
      <c r="Z969" s="690"/>
      <c r="AA969" s="690"/>
      <c r="AB969" s="690"/>
      <c r="AC969" s="690"/>
      <c r="AD969" s="690"/>
      <c r="AE969" s="690"/>
    </row>
    <row r="970" spans="1:31" ht="15.75" customHeight="1">
      <c r="A970" s="690"/>
      <c r="B970" s="690"/>
      <c r="C970" s="690"/>
      <c r="D970" s="690"/>
      <c r="E970" s="690"/>
      <c r="F970" s="690"/>
      <c r="G970" s="690"/>
      <c r="H970" s="690"/>
      <c r="I970" s="690"/>
      <c r="J970" s="690"/>
      <c r="K970" s="690"/>
      <c r="L970" s="690"/>
      <c r="M970" s="690"/>
      <c r="N970" s="690"/>
      <c r="O970" s="690"/>
      <c r="P970" s="690"/>
      <c r="Q970" s="690"/>
      <c r="R970" s="690"/>
      <c r="S970" s="690"/>
      <c r="T970" s="690"/>
      <c r="U970" s="690"/>
      <c r="V970" s="690"/>
      <c r="W970" s="690"/>
      <c r="X970" s="690"/>
      <c r="Y970" s="690"/>
      <c r="Z970" s="690"/>
      <c r="AA970" s="690"/>
      <c r="AB970" s="690"/>
      <c r="AC970" s="690"/>
      <c r="AD970" s="690"/>
      <c r="AE970" s="690"/>
    </row>
    <row r="971" spans="1:31" ht="15.75" customHeight="1">
      <c r="A971" s="690"/>
      <c r="B971" s="690"/>
      <c r="C971" s="690"/>
      <c r="D971" s="690"/>
      <c r="E971" s="690"/>
      <c r="F971" s="690"/>
      <c r="G971" s="690"/>
      <c r="H971" s="690"/>
      <c r="I971" s="690"/>
      <c r="J971" s="690"/>
      <c r="K971" s="690"/>
      <c r="L971" s="690"/>
      <c r="M971" s="690"/>
      <c r="N971" s="690"/>
      <c r="O971" s="690"/>
      <c r="P971" s="690"/>
      <c r="Q971" s="690"/>
      <c r="R971" s="690"/>
      <c r="S971" s="690"/>
      <c r="T971" s="690"/>
      <c r="U971" s="690"/>
      <c r="V971" s="690"/>
      <c r="W971" s="690"/>
      <c r="X971" s="690"/>
      <c r="Y971" s="690"/>
      <c r="Z971" s="690"/>
      <c r="AA971" s="690"/>
      <c r="AB971" s="690"/>
      <c r="AC971" s="690"/>
      <c r="AD971" s="690"/>
      <c r="AE971" s="690"/>
    </row>
    <row r="972" spans="1:31" ht="15.75" customHeight="1">
      <c r="A972" s="690"/>
      <c r="B972" s="690"/>
      <c r="C972" s="690"/>
      <c r="D972" s="690"/>
      <c r="E972" s="690"/>
      <c r="F972" s="690"/>
      <c r="G972" s="690"/>
      <c r="H972" s="690"/>
      <c r="I972" s="690"/>
      <c r="J972" s="690"/>
      <c r="K972" s="690"/>
      <c r="L972" s="690"/>
      <c r="M972" s="690"/>
      <c r="N972" s="690"/>
      <c r="O972" s="690"/>
      <c r="P972" s="690"/>
      <c r="Q972" s="690"/>
      <c r="R972" s="690"/>
      <c r="S972" s="690"/>
      <c r="T972" s="690"/>
      <c r="U972" s="690"/>
      <c r="V972" s="690"/>
      <c r="W972" s="690"/>
      <c r="X972" s="690"/>
      <c r="Y972" s="690"/>
      <c r="Z972" s="690"/>
      <c r="AA972" s="690"/>
      <c r="AB972" s="690"/>
      <c r="AC972" s="690"/>
      <c r="AD972" s="690"/>
      <c r="AE972" s="690"/>
    </row>
    <row r="973" spans="1:31" ht="15.75" customHeight="1">
      <c r="A973" s="690"/>
      <c r="B973" s="690"/>
      <c r="C973" s="690"/>
      <c r="D973" s="690"/>
      <c r="E973" s="690"/>
      <c r="F973" s="690"/>
      <c r="G973" s="690"/>
      <c r="H973" s="690"/>
      <c r="I973" s="690"/>
      <c r="J973" s="690"/>
      <c r="K973" s="690"/>
      <c r="L973" s="690"/>
      <c r="M973" s="690"/>
      <c r="N973" s="690"/>
      <c r="O973" s="690"/>
      <c r="P973" s="690"/>
      <c r="Q973" s="690"/>
      <c r="R973" s="690"/>
      <c r="S973" s="690"/>
      <c r="T973" s="690"/>
      <c r="U973" s="690"/>
      <c r="V973" s="690"/>
      <c r="W973" s="690"/>
      <c r="X973" s="690"/>
      <c r="Y973" s="690"/>
      <c r="Z973" s="690"/>
      <c r="AA973" s="690"/>
      <c r="AB973" s="690"/>
      <c r="AC973" s="690"/>
      <c r="AD973" s="690"/>
      <c r="AE973" s="690"/>
    </row>
    <row r="974" spans="1:31" ht="15.75" customHeight="1">
      <c r="A974" s="690"/>
      <c r="B974" s="690"/>
      <c r="C974" s="690"/>
      <c r="D974" s="690"/>
      <c r="E974" s="690"/>
      <c r="F974" s="690"/>
      <c r="G974" s="690"/>
      <c r="H974" s="690"/>
      <c r="I974" s="690"/>
      <c r="J974" s="690"/>
      <c r="K974" s="690"/>
      <c r="L974" s="690"/>
      <c r="M974" s="690"/>
      <c r="N974" s="690"/>
      <c r="O974" s="690"/>
      <c r="P974" s="690"/>
      <c r="Q974" s="690"/>
      <c r="R974" s="690"/>
      <c r="S974" s="690"/>
      <c r="T974" s="690"/>
      <c r="U974" s="690"/>
      <c r="V974" s="690"/>
      <c r="W974" s="690"/>
      <c r="X974" s="690"/>
      <c r="Y974" s="690"/>
      <c r="Z974" s="690"/>
      <c r="AA974" s="690"/>
      <c r="AB974" s="690"/>
      <c r="AC974" s="690"/>
      <c r="AD974" s="690"/>
      <c r="AE974" s="690"/>
    </row>
    <row r="975" spans="1:31" ht="15.75" customHeight="1">
      <c r="A975" s="690"/>
      <c r="B975" s="690"/>
      <c r="C975" s="690"/>
      <c r="D975" s="690"/>
      <c r="E975" s="690"/>
      <c r="F975" s="690"/>
      <c r="G975" s="690"/>
      <c r="H975" s="690"/>
      <c r="I975" s="690"/>
      <c r="J975" s="690"/>
      <c r="K975" s="690"/>
      <c r="L975" s="690"/>
      <c r="M975" s="690"/>
      <c r="N975" s="690"/>
      <c r="O975" s="690"/>
      <c r="P975" s="690"/>
      <c r="Q975" s="690"/>
      <c r="R975" s="690"/>
      <c r="S975" s="690"/>
      <c r="T975" s="690"/>
      <c r="U975" s="690"/>
      <c r="V975" s="690"/>
      <c r="W975" s="690"/>
      <c r="X975" s="690"/>
      <c r="Y975" s="690"/>
      <c r="Z975" s="690"/>
      <c r="AA975" s="690"/>
      <c r="AB975" s="690"/>
      <c r="AC975" s="690"/>
      <c r="AD975" s="690"/>
      <c r="AE975" s="690"/>
    </row>
    <row r="976" spans="1:31" ht="15.75" customHeight="1">
      <c r="A976" s="690"/>
      <c r="B976" s="690"/>
      <c r="C976" s="690"/>
      <c r="D976" s="690"/>
      <c r="E976" s="690"/>
      <c r="F976" s="690"/>
      <c r="G976" s="690"/>
      <c r="H976" s="690"/>
      <c r="I976" s="690"/>
      <c r="J976" s="690"/>
      <c r="K976" s="690"/>
      <c r="L976" s="690"/>
      <c r="M976" s="690"/>
      <c r="N976" s="690"/>
      <c r="O976" s="690"/>
      <c r="P976" s="690"/>
      <c r="Q976" s="690"/>
      <c r="R976" s="690"/>
      <c r="S976" s="690"/>
      <c r="T976" s="690"/>
      <c r="U976" s="690"/>
      <c r="V976" s="690"/>
      <c r="W976" s="690"/>
      <c r="X976" s="690"/>
      <c r="Y976" s="690"/>
      <c r="Z976" s="690"/>
      <c r="AA976" s="690"/>
      <c r="AB976" s="690"/>
      <c r="AC976" s="690"/>
      <c r="AD976" s="690"/>
      <c r="AE976" s="690"/>
    </row>
    <row r="977" spans="1:31" ht="15.75" customHeight="1">
      <c r="A977" s="690"/>
      <c r="B977" s="690"/>
      <c r="C977" s="690"/>
      <c r="D977" s="690"/>
      <c r="E977" s="690"/>
      <c r="F977" s="690"/>
      <c r="G977" s="690"/>
      <c r="H977" s="690"/>
      <c r="I977" s="690"/>
      <c r="J977" s="690"/>
      <c r="K977" s="690"/>
      <c r="L977" s="690"/>
      <c r="M977" s="690"/>
      <c r="N977" s="690"/>
      <c r="O977" s="690"/>
      <c r="P977" s="690"/>
      <c r="Q977" s="690"/>
      <c r="R977" s="690"/>
      <c r="S977" s="690"/>
      <c r="T977" s="690"/>
      <c r="U977" s="690"/>
      <c r="V977" s="690"/>
      <c r="W977" s="690"/>
      <c r="X977" s="690"/>
      <c r="Y977" s="690"/>
      <c r="Z977" s="690"/>
      <c r="AA977" s="690"/>
      <c r="AB977" s="690"/>
      <c r="AC977" s="690"/>
      <c r="AD977" s="690"/>
      <c r="AE977" s="690"/>
    </row>
    <row r="978" spans="1:31" ht="15.75" customHeight="1">
      <c r="A978" s="690"/>
      <c r="B978" s="690"/>
      <c r="C978" s="690"/>
      <c r="D978" s="690"/>
      <c r="E978" s="690"/>
      <c r="F978" s="690"/>
      <c r="G978" s="690"/>
      <c r="H978" s="690"/>
      <c r="I978" s="690"/>
      <c r="J978" s="690"/>
      <c r="K978" s="690"/>
      <c r="L978" s="690"/>
      <c r="M978" s="690"/>
      <c r="N978" s="690"/>
      <c r="O978" s="690"/>
      <c r="P978" s="690"/>
      <c r="Q978" s="690"/>
      <c r="R978" s="690"/>
      <c r="S978" s="690"/>
      <c r="T978" s="690"/>
      <c r="U978" s="690"/>
      <c r="V978" s="690"/>
      <c r="W978" s="690"/>
      <c r="X978" s="690"/>
      <c r="Y978" s="690"/>
      <c r="Z978" s="690"/>
      <c r="AA978" s="690"/>
      <c r="AB978" s="690"/>
      <c r="AC978" s="690"/>
      <c r="AD978" s="690"/>
      <c r="AE978" s="690"/>
    </row>
    <row r="979" spans="1:31" ht="15.75" customHeight="1">
      <c r="A979" s="690"/>
      <c r="B979" s="690"/>
      <c r="C979" s="690"/>
      <c r="D979" s="690"/>
      <c r="E979" s="690"/>
      <c r="F979" s="690"/>
      <c r="G979" s="690"/>
      <c r="H979" s="690"/>
      <c r="I979" s="690"/>
      <c r="J979" s="690"/>
      <c r="K979" s="690"/>
      <c r="L979" s="690"/>
      <c r="M979" s="690"/>
      <c r="N979" s="690"/>
      <c r="O979" s="690"/>
      <c r="P979" s="690"/>
      <c r="Q979" s="690"/>
      <c r="R979" s="690"/>
      <c r="S979" s="690"/>
      <c r="T979" s="690"/>
      <c r="U979" s="690"/>
      <c r="V979" s="690"/>
      <c r="W979" s="690"/>
      <c r="X979" s="690"/>
      <c r="Y979" s="690"/>
      <c r="Z979" s="690"/>
      <c r="AA979" s="690"/>
      <c r="AB979" s="690"/>
      <c r="AC979" s="690"/>
      <c r="AD979" s="690"/>
      <c r="AE979" s="690"/>
    </row>
    <row r="980" spans="1:31" ht="15.75" customHeight="1">
      <c r="A980" s="690"/>
      <c r="B980" s="690"/>
      <c r="C980" s="690"/>
      <c r="D980" s="690"/>
      <c r="E980" s="690"/>
      <c r="F980" s="690"/>
      <c r="G980" s="690"/>
      <c r="H980" s="690"/>
      <c r="I980" s="690"/>
      <c r="J980" s="690"/>
      <c r="K980" s="690"/>
      <c r="L980" s="690"/>
      <c r="M980" s="690"/>
      <c r="N980" s="690"/>
      <c r="O980" s="690"/>
      <c r="P980" s="690"/>
      <c r="Q980" s="690"/>
      <c r="R980" s="690"/>
      <c r="S980" s="690"/>
      <c r="T980" s="690"/>
      <c r="U980" s="690"/>
      <c r="V980" s="690"/>
      <c r="W980" s="690"/>
      <c r="X980" s="690"/>
      <c r="Y980" s="690"/>
      <c r="Z980" s="690"/>
      <c r="AA980" s="690"/>
      <c r="AB980" s="690"/>
      <c r="AC980" s="690"/>
      <c r="AD980" s="690"/>
      <c r="AE980" s="690"/>
    </row>
  </sheetData>
  <mergeCells count="5">
    <mergeCell ref="B1:H1"/>
    <mergeCell ref="B4:J4"/>
    <mergeCell ref="A5:H5"/>
    <mergeCell ref="G6:H6"/>
    <mergeCell ref="A9:B9"/>
  </mergeCells>
  <printOptions horizontalCentered="1" verticalCentered="1"/>
  <pageMargins left="0.11811023622047245" right="0.11811023622047245" top="0.11811023622047245" bottom="0.11811023622047245" header="0" footer="0"/>
  <pageSetup scale="63" fitToHeight="0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L929"/>
  <sheetViews>
    <sheetView view="pageBreakPreview" topLeftCell="A112" zoomScale="60" zoomScaleNormal="100"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22.453125" customWidth="1"/>
    <col min="4" max="4" width="27" customWidth="1"/>
    <col min="5" max="5" width="37.08984375" customWidth="1"/>
    <col min="6" max="6" width="18.81640625" customWidth="1"/>
    <col min="7" max="7" width="23.08984375" customWidth="1"/>
    <col min="8" max="8" width="30.08984375" customWidth="1"/>
    <col min="9" max="9" width="18" customWidth="1"/>
    <col min="10" max="10" width="29.08984375" customWidth="1"/>
    <col min="11" max="11" width="56.7265625" hidden="1" customWidth="1"/>
    <col min="12" max="12" width="44.54296875" hidden="1" customWidth="1"/>
  </cols>
  <sheetData>
    <row r="1" spans="1:12" ht="14.25" customHeight="1">
      <c r="A1" s="716" t="b">
        <v>1</v>
      </c>
      <c r="B1" s="717" t="s">
        <v>308</v>
      </c>
      <c r="C1" s="717"/>
      <c r="D1" s="717"/>
      <c r="E1" s="717"/>
      <c r="F1" s="717"/>
      <c r="G1" s="717"/>
      <c r="H1" s="717"/>
      <c r="I1" s="717"/>
      <c r="J1" s="717"/>
      <c r="K1" s="718"/>
      <c r="L1" s="718"/>
    </row>
    <row r="2" spans="1:12" ht="18.75" customHeight="1">
      <c r="A2" s="716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  <c r="L2" s="719"/>
    </row>
    <row r="3" spans="1:12" ht="22.5" customHeight="1">
      <c r="A3" s="716"/>
      <c r="B3" s="1634" t="str">
        <f>'1-ABA-DE-CARREGAMENTO'!C33</f>
        <v>5162_20_CUIDADOR-de-ALUNOS_40h</v>
      </c>
      <c r="C3" s="1575"/>
      <c r="D3" s="1575"/>
      <c r="E3" s="1575"/>
      <c r="F3" s="1575"/>
      <c r="G3" s="1575"/>
      <c r="H3" s="1575"/>
      <c r="I3" s="1575"/>
      <c r="J3" s="1608"/>
      <c r="K3" s="720"/>
      <c r="L3" s="720"/>
    </row>
    <row r="4" spans="1:12" ht="20.25" customHeight="1">
      <c r="A4" s="716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  <c r="L4" s="721"/>
    </row>
    <row r="5" spans="1:12" ht="15" customHeight="1">
      <c r="A5" s="716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  <c r="L5" s="721"/>
    </row>
    <row r="6" spans="1:12" ht="15" customHeight="1">
      <c r="A6" s="716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  <c r="L6" s="723"/>
    </row>
    <row r="7" spans="1:12" ht="19.5" customHeight="1">
      <c r="A7" s="716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  <c r="L7" s="724"/>
    </row>
    <row r="8" spans="1:12" ht="19.5" customHeight="1">
      <c r="A8" s="716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  <c r="L8" s="725"/>
    </row>
    <row r="9" spans="1:12" ht="21" customHeight="1">
      <c r="A9" s="716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9" t="str">
        <f>'1-ABA-DE-CARREGAMENTO'!C14</f>
        <v>PANAMBI__PB</v>
      </c>
      <c r="J9" s="1478"/>
      <c r="K9" s="721"/>
      <c r="L9" s="721"/>
    </row>
    <row r="10" spans="1:12" ht="12.75" customHeight="1">
      <c r="A10" s="716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'1-ABA-DE-CARREGAMENTO'!C35</f>
        <v>RS000041/2026</v>
      </c>
      <c r="J10" s="1478"/>
      <c r="K10" s="721"/>
      <c r="L10" s="721"/>
    </row>
    <row r="11" spans="1:12" ht="15.75" customHeight="1">
      <c r="A11" s="716"/>
      <c r="B11" s="726" t="s">
        <v>318</v>
      </c>
      <c r="C11" s="1563" t="s">
        <v>319</v>
      </c>
      <c r="D11" s="1477"/>
      <c r="E11" s="1477"/>
      <c r="F11" s="1477"/>
      <c r="G11" s="1477"/>
      <c r="H11" s="1478"/>
      <c r="I11" s="1567">
        <f>'1-ABA-DE-CARREGAMENTO'!C94</f>
        <v>30</v>
      </c>
      <c r="J11" s="1478"/>
      <c r="K11" s="721"/>
      <c r="L11" s="721"/>
    </row>
    <row r="12" spans="1:12" ht="13.5" customHeight="1">
      <c r="A12" s="716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  <c r="L12" s="727"/>
    </row>
    <row r="13" spans="1:12" ht="72" customHeight="1">
      <c r="A13" s="716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  <c r="L13" s="697"/>
    </row>
    <row r="14" spans="1:12" ht="12.75" hidden="1" customHeight="1" outlineLevel="1">
      <c r="A14" s="716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  <c r="L14" s="728"/>
    </row>
    <row r="15" spans="1:12" ht="12.75" hidden="1" customHeight="1" outlineLevel="1">
      <c r="A15" s="716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  <c r="L15" s="728"/>
    </row>
    <row r="16" spans="1:12" ht="12.75" hidden="1" customHeight="1" outlineLevel="1">
      <c r="A16" s="716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  <c r="L16" s="728"/>
    </row>
    <row r="17" spans="1:12" ht="22.5" customHeight="1" collapsed="1">
      <c r="A17" s="716"/>
      <c r="B17" s="1611" t="str">
        <f>B3</f>
        <v>5162_20_CUIDADOR-de-ALUNOS_40h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'1-ABA-DE-CARREGAMENTO'!C92</f>
        <v>0</v>
      </c>
      <c r="J17" s="1478"/>
      <c r="K17" s="728"/>
      <c r="L17" s="728"/>
    </row>
    <row r="18" spans="1:12" ht="12.75" hidden="1" customHeight="1" outlineLevel="1">
      <c r="A18" s="716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  <c r="L18" s="728"/>
    </row>
    <row r="19" spans="1:12" ht="12" hidden="1" customHeight="1" outlineLevel="1">
      <c r="A19" s="716"/>
      <c r="B19" s="1611" t="s">
        <v>329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  <c r="L19" s="728"/>
    </row>
    <row r="20" spans="1:12" ht="23.25" customHeight="1" collapsed="1">
      <c r="A20" s="716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0</v>
      </c>
      <c r="J20" s="1478"/>
      <c r="K20" s="729"/>
      <c r="L20" s="729"/>
    </row>
    <row r="21" spans="1:12" ht="12.75" customHeight="1">
      <c r="A21" s="716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  <c r="L21" s="697"/>
    </row>
    <row r="22" spans="1:12" ht="22.5" customHeight="1">
      <c r="A22" s="716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  <c r="L22" s="730"/>
    </row>
    <row r="23" spans="1:12" ht="12" customHeight="1">
      <c r="A23" s="716"/>
      <c r="B23" s="1618"/>
      <c r="C23" s="1477"/>
      <c r="D23" s="1477"/>
      <c r="E23" s="1477"/>
      <c r="F23" s="1477"/>
      <c r="G23" s="1477"/>
      <c r="H23" s="1477"/>
      <c r="I23" s="1477"/>
      <c r="J23" s="1478"/>
      <c r="K23" s="697"/>
      <c r="L23" s="697"/>
    </row>
    <row r="24" spans="1:12" ht="52.5" customHeight="1">
      <c r="A24" s="716"/>
      <c r="B24" s="1619" t="s">
        <v>332</v>
      </c>
      <c r="C24" s="1477"/>
      <c r="D24" s="1477"/>
      <c r="E24" s="1477"/>
      <c r="F24" s="1477"/>
      <c r="G24" s="1477"/>
      <c r="H24" s="1477"/>
      <c r="I24" s="1477"/>
      <c r="J24" s="1478"/>
      <c r="K24" s="731"/>
      <c r="L24" s="731"/>
    </row>
    <row r="25" spans="1:12" ht="10.5" customHeight="1">
      <c r="A25" s="716"/>
      <c r="B25" s="1620"/>
      <c r="C25" s="1477"/>
      <c r="D25" s="1477"/>
      <c r="E25" s="1477"/>
      <c r="F25" s="1477"/>
      <c r="G25" s="1477"/>
      <c r="H25" s="1477"/>
      <c r="I25" s="1477"/>
      <c r="J25" s="1478"/>
      <c r="K25" s="724"/>
      <c r="L25" s="724"/>
    </row>
    <row r="26" spans="1:12" ht="16.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  <c r="L26" s="724"/>
    </row>
    <row r="27" spans="1:12" ht="30" customHeight="1">
      <c r="A27" s="716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'1-ABA-DE-CARREGAMENTO'!C33</f>
        <v>5162_20_CUIDADOR-de-ALUNOS_40h</v>
      </c>
      <c r="J27" s="1478"/>
      <c r="K27" s="732"/>
      <c r="L27" s="732"/>
    </row>
    <row r="28" spans="1:12" ht="16.5" customHeight="1">
      <c r="A28" s="716"/>
      <c r="B28" s="733">
        <v>2</v>
      </c>
      <c r="C28" s="1622" t="s">
        <v>335</v>
      </c>
      <c r="D28" s="1481"/>
      <c r="E28" s="1481"/>
      <c r="F28" s="1481"/>
      <c r="G28" s="1481"/>
      <c r="H28" s="1623"/>
      <c r="I28" s="1624" t="str">
        <f>LEFT(I27,7)</f>
        <v>5162_20</v>
      </c>
      <c r="J28" s="1478"/>
      <c r="K28" s="734"/>
      <c r="L28" s="734"/>
    </row>
    <row r="29" spans="1:12" ht="43.5" customHeight="1">
      <c r="A29" s="716"/>
      <c r="B29" s="735">
        <v>3</v>
      </c>
      <c r="C29" s="1625" t="s">
        <v>336</v>
      </c>
      <c r="D29" s="1468"/>
      <c r="E29" s="736">
        <v>220</v>
      </c>
      <c r="F29" s="737">
        <f>'1-ABA-DE-CARREGAMENTO'!C37</f>
        <v>2161.0500000000002</v>
      </c>
      <c r="G29" s="738" t="s">
        <v>337</v>
      </c>
      <c r="H29" s="739">
        <v>200</v>
      </c>
      <c r="I29" s="1626">
        <f>F29</f>
        <v>2161.0500000000002</v>
      </c>
      <c r="J29" s="1478"/>
      <c r="K29" s="740"/>
      <c r="L29" s="740"/>
    </row>
    <row r="30" spans="1:12" ht="16.5" customHeight="1">
      <c r="A30" s="716"/>
      <c r="B30" s="696">
        <v>4</v>
      </c>
      <c r="C30" s="1628" t="s">
        <v>338</v>
      </c>
      <c r="D30" s="1575"/>
      <c r="E30" s="1575"/>
      <c r="F30" s="1575"/>
      <c r="G30" s="1575"/>
      <c r="H30" s="1608"/>
      <c r="I30" s="1627"/>
      <c r="J30" s="1478"/>
      <c r="K30" s="741"/>
      <c r="L30" s="741"/>
    </row>
    <row r="31" spans="1:12" ht="18.75" customHeight="1">
      <c r="A31" s="716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'1-ABA-DE-CARREGAMENTO'!C36</f>
        <v>01 de JANEIRO</v>
      </c>
      <c r="J31" s="1478"/>
      <c r="K31" s="742"/>
      <c r="L31" s="742"/>
    </row>
    <row r="32" spans="1:12" ht="29.25" customHeight="1">
      <c r="A32" s="716"/>
      <c r="B32" s="743">
        <v>6</v>
      </c>
      <c r="C32" s="1560" t="s">
        <v>340</v>
      </c>
      <c r="D32" s="1477"/>
      <c r="E32" s="1477"/>
      <c r="F32" s="1477"/>
      <c r="G32" s="1477"/>
      <c r="H32" s="1478"/>
      <c r="I32" s="1630">
        <f>ROUND(F29/200,2)</f>
        <v>10.81</v>
      </c>
      <c r="J32" s="1478"/>
      <c r="K32" s="744"/>
      <c r="L32" s="744"/>
    </row>
    <row r="33" spans="1:12" ht="39" customHeight="1">
      <c r="A33" s="716"/>
      <c r="B33" s="743">
        <v>7</v>
      </c>
      <c r="C33" s="1560" t="s">
        <v>341</v>
      </c>
      <c r="D33" s="1477"/>
      <c r="E33" s="1477"/>
      <c r="F33" s="1478"/>
      <c r="G33" s="1631"/>
      <c r="H33" s="1478"/>
      <c r="I33" s="1632">
        <f>(I32*I50)+I32</f>
        <v>15.134</v>
      </c>
      <c r="J33" s="1478"/>
      <c r="K33" s="744"/>
      <c r="L33" s="744"/>
    </row>
    <row r="34" spans="1:12" ht="29.25" customHeight="1">
      <c r="A34" s="716"/>
      <c r="B34" s="743">
        <v>8</v>
      </c>
      <c r="C34" s="1560" t="s">
        <v>342</v>
      </c>
      <c r="D34" s="1477"/>
      <c r="E34" s="1477"/>
      <c r="F34" s="1478"/>
      <c r="G34" s="1631"/>
      <c r="H34" s="1478"/>
      <c r="I34" s="1630">
        <f t="shared" ref="I34:I35" si="0">I32*1.5</f>
        <v>16.215</v>
      </c>
      <c r="J34" s="1478"/>
      <c r="K34" s="744"/>
      <c r="L34" s="744"/>
    </row>
    <row r="35" spans="1:12" ht="29.25" customHeight="1">
      <c r="A35" s="716"/>
      <c r="B35" s="743">
        <v>9</v>
      </c>
      <c r="C35" s="1560" t="s">
        <v>343</v>
      </c>
      <c r="D35" s="1477"/>
      <c r="E35" s="1477"/>
      <c r="F35" s="1478"/>
      <c r="G35" s="1631" t="s">
        <v>344</v>
      </c>
      <c r="H35" s="1478"/>
      <c r="I35" s="1632">
        <f t="shared" si="0"/>
        <v>22.701000000000001</v>
      </c>
      <c r="J35" s="1478"/>
      <c r="K35" s="744"/>
      <c r="L35" s="744"/>
    </row>
    <row r="36" spans="1:12" ht="29.25" customHeight="1">
      <c r="A36" s="716"/>
      <c r="B36" s="743">
        <v>10</v>
      </c>
      <c r="C36" s="1560" t="s">
        <v>345</v>
      </c>
      <c r="D36" s="1477"/>
      <c r="E36" s="1477"/>
      <c r="F36" s="1477"/>
      <c r="G36" s="1477"/>
      <c r="H36" s="1478"/>
      <c r="I36" s="1642">
        <f>I33*1.2</f>
        <v>18.160799999999998</v>
      </c>
      <c r="J36" s="1478"/>
      <c r="K36" s="744"/>
      <c r="L36" s="744"/>
    </row>
    <row r="37" spans="1:12" ht="29.25" customHeight="1">
      <c r="A37" s="716"/>
      <c r="B37" s="743">
        <v>11</v>
      </c>
      <c r="C37" s="1560" t="s">
        <v>346</v>
      </c>
      <c r="D37" s="1477"/>
      <c r="E37" s="1477"/>
      <c r="F37" s="1477"/>
      <c r="G37" s="1477"/>
      <c r="H37" s="1478"/>
      <c r="I37" s="1643">
        <f>I33*2</f>
        <v>30.268000000000001</v>
      </c>
      <c r="J37" s="1478"/>
      <c r="K37" s="744"/>
      <c r="L37" s="744"/>
    </row>
    <row r="38" spans="1:12" ht="29.25" hidden="1" customHeight="1" outlineLevel="1">
      <c r="A38" s="716"/>
      <c r="B38" s="743">
        <v>12</v>
      </c>
      <c r="C38" s="1560" t="s">
        <v>347</v>
      </c>
      <c r="D38" s="1477"/>
      <c r="E38" s="1477"/>
      <c r="F38" s="1477"/>
      <c r="G38" s="1477"/>
      <c r="H38" s="1478"/>
      <c r="I38" s="1630">
        <f>I29*'1-ABA-DE-CARREGAMENTO'!D44</f>
        <v>0</v>
      </c>
      <c r="J38" s="1478"/>
      <c r="K38" s="744"/>
      <c r="L38" s="744"/>
    </row>
    <row r="39" spans="1:12" ht="29.25" hidden="1" customHeight="1" outlineLevel="1">
      <c r="A39" s="716"/>
      <c r="B39" s="745">
        <v>13</v>
      </c>
      <c r="C39" s="1645" t="s">
        <v>348</v>
      </c>
      <c r="D39" s="1481"/>
      <c r="E39" s="1481"/>
      <c r="F39" s="1481"/>
      <c r="G39" s="1481"/>
      <c r="H39" s="1623"/>
      <c r="I39" s="1644">
        <f>ROUND(I32/6,2)*1.3*0</f>
        <v>0</v>
      </c>
      <c r="J39" s="1623"/>
      <c r="K39" s="744"/>
      <c r="L39" s="744"/>
    </row>
    <row r="40" spans="1:12" ht="29.25" customHeight="1" collapsed="1">
      <c r="A40" s="716"/>
      <c r="B40" s="746">
        <v>14</v>
      </c>
      <c r="C40" s="1646" t="s">
        <v>349</v>
      </c>
      <c r="D40" s="1647"/>
      <c r="E40" s="1647"/>
      <c r="F40" s="1647"/>
      <c r="G40" s="1647"/>
      <c r="H40" s="1648"/>
      <c r="I40" s="1649">
        <f>'1-ABA-DE-CARREGAMENTO'!C93</f>
        <v>1</v>
      </c>
      <c r="J40" s="1650"/>
      <c r="K40" s="747"/>
      <c r="L40" s="747"/>
    </row>
    <row r="41" spans="1:12" ht="26.25" customHeight="1">
      <c r="A41" s="716"/>
      <c r="B41" s="748">
        <v>15</v>
      </c>
      <c r="C41" s="1651" t="s">
        <v>350</v>
      </c>
      <c r="D41" s="1575"/>
      <c r="E41" s="1575"/>
      <c r="F41" s="1575"/>
      <c r="G41" s="1575"/>
      <c r="H41" s="1608"/>
      <c r="I41" s="1652">
        <f>'1-ABA-DE-CARREGAMENTO'!C42</f>
        <v>1621</v>
      </c>
      <c r="J41" s="1608"/>
      <c r="K41" s="749"/>
      <c r="L41" s="749"/>
    </row>
    <row r="42" spans="1:12" ht="14.25" customHeight="1">
      <c r="A42" s="716"/>
      <c r="B42" s="1618"/>
      <c r="C42" s="1477"/>
      <c r="D42" s="1477"/>
      <c r="E42" s="1477"/>
      <c r="F42" s="1477"/>
      <c r="G42" s="1477"/>
      <c r="H42" s="1477"/>
      <c r="I42" s="1477"/>
      <c r="J42" s="1478"/>
      <c r="K42" s="697"/>
      <c r="L42" s="697"/>
    </row>
    <row r="43" spans="1:12" ht="30.75" customHeight="1">
      <c r="A43" s="716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  <c r="L43" s="750"/>
    </row>
    <row r="44" spans="1:12" ht="12" customHeight="1">
      <c r="A44" s="716"/>
      <c r="B44" s="1570"/>
      <c r="C44" s="1477"/>
      <c r="D44" s="1477"/>
      <c r="E44" s="1477"/>
      <c r="F44" s="1477"/>
      <c r="G44" s="1477"/>
      <c r="H44" s="1477"/>
      <c r="I44" s="1477"/>
      <c r="J44" s="1478"/>
      <c r="K44" s="723"/>
      <c r="L44" s="723"/>
    </row>
    <row r="45" spans="1:12" ht="24" customHeight="1">
      <c r="A45" s="716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  <c r="L45" s="751"/>
    </row>
    <row r="46" spans="1:12" ht="14.25" customHeight="1">
      <c r="A46" s="75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753" t="s">
        <v>355</v>
      </c>
      <c r="K46" s="727"/>
      <c r="L46" s="727"/>
    </row>
    <row r="47" spans="1:12" ht="33" customHeight="1">
      <c r="A47" s="716"/>
      <c r="B47" s="696" t="s">
        <v>312</v>
      </c>
      <c r="C47" s="1577" t="s">
        <v>356</v>
      </c>
      <c r="D47" s="1477"/>
      <c r="E47" s="1477"/>
      <c r="F47" s="1478"/>
      <c r="G47" s="755" t="s">
        <v>52</v>
      </c>
      <c r="H47" s="756">
        <f>'1-ABA-DE-CARREGAMENTO'!C52</f>
        <v>200</v>
      </c>
      <c r="I47" s="757"/>
      <c r="J47" s="758">
        <f>I29</f>
        <v>2161.0500000000002</v>
      </c>
      <c r="K47" s="759"/>
      <c r="L47" s="759"/>
    </row>
    <row r="48" spans="1:12" ht="16.5" customHeight="1">
      <c r="A48" s="716"/>
      <c r="B48" s="696" t="s">
        <v>314</v>
      </c>
      <c r="C48" s="1577" t="s">
        <v>357</v>
      </c>
      <c r="D48" s="1477"/>
      <c r="E48" s="1477"/>
      <c r="F48" s="1654" t="str">
        <f>'1-ABA-DE-CARREGAMENTO'!C38</f>
        <v>SEM ADICIONAL DE FUNÇÃO</v>
      </c>
      <c r="G48" s="1477"/>
      <c r="H48" s="1478"/>
      <c r="I48" s="760">
        <f>'1-ABA-DE-CARREGAMENTO'!C39</f>
        <v>0</v>
      </c>
      <c r="J48" s="758">
        <f>J47*I48</f>
        <v>0</v>
      </c>
      <c r="K48" s="759"/>
      <c r="L48" s="759"/>
    </row>
    <row r="49" spans="1:12" ht="28.5" customHeight="1">
      <c r="A49" s="716"/>
      <c r="B49" s="696" t="s">
        <v>316</v>
      </c>
      <c r="C49" s="1577" t="s">
        <v>358</v>
      </c>
      <c r="D49" s="1477"/>
      <c r="E49" s="1477"/>
      <c r="F49" s="1477"/>
      <c r="G49" s="1477"/>
      <c r="H49" s="1478"/>
      <c r="I49" s="761">
        <f>'1-ABA-DE-CARREGAMENTO'!C44</f>
        <v>0</v>
      </c>
      <c r="J49" s="758">
        <f>ROUND(J47*I49,2)</f>
        <v>0</v>
      </c>
      <c r="K49" s="759"/>
      <c r="L49" s="759"/>
    </row>
    <row r="50" spans="1:12" ht="31.5" customHeight="1">
      <c r="A50" s="716"/>
      <c r="B50" s="696" t="s">
        <v>318</v>
      </c>
      <c r="C50" s="1577" t="s">
        <v>359</v>
      </c>
      <c r="D50" s="1477"/>
      <c r="E50" s="1477"/>
      <c r="F50" s="1477"/>
      <c r="G50" s="1655" t="str">
        <f>'1-ABA-DE-CARREGAMENTO'!C40</f>
        <v>INSALUB S/NORMATIVO</v>
      </c>
      <c r="H50" s="1478"/>
      <c r="I50" s="762">
        <f>'1-ABA-DE-CARREGAMENTO'!C41</f>
        <v>0.4</v>
      </c>
      <c r="J50" s="758">
        <f>ROUND(I50*I29,2)</f>
        <v>864.42</v>
      </c>
      <c r="K50" s="759"/>
      <c r="L50" s="759"/>
    </row>
    <row r="51" spans="1:12" ht="37.5" customHeight="1" outlineLevel="1">
      <c r="A51" s="716"/>
      <c r="B51" s="696" t="s">
        <v>360</v>
      </c>
      <c r="C51" s="1573" t="s">
        <v>361</v>
      </c>
      <c r="D51" s="1477"/>
      <c r="E51" s="1478"/>
      <c r="F51" s="763" t="s">
        <v>362</v>
      </c>
      <c r="G51" s="764">
        <v>0</v>
      </c>
      <c r="H51" s="763" t="s">
        <v>363</v>
      </c>
      <c r="I51" s="765">
        <f>I36</f>
        <v>18.160799999999998</v>
      </c>
      <c r="J51" s="766">
        <f>G51*I51</f>
        <v>0</v>
      </c>
      <c r="K51" s="759"/>
      <c r="L51" s="759"/>
    </row>
    <row r="52" spans="1:12" ht="45" customHeight="1" outlineLevel="1">
      <c r="A52" s="716"/>
      <c r="B52" s="696" t="s">
        <v>364</v>
      </c>
      <c r="C52" s="1656" t="s">
        <v>365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759"/>
      <c r="L52" s="759"/>
    </row>
    <row r="53" spans="1:12" ht="35.25" customHeight="1" outlineLevel="1">
      <c r="A53" s="716"/>
      <c r="B53" s="696" t="s">
        <v>366</v>
      </c>
      <c r="C53" s="1656" t="s">
        <v>367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759"/>
      <c r="L53" s="759"/>
    </row>
    <row r="54" spans="1:12" ht="29.25" customHeight="1" outlineLevel="1">
      <c r="A54" s="716"/>
      <c r="B54" s="696" t="s">
        <v>368</v>
      </c>
      <c r="C54" s="1574" t="s">
        <v>369</v>
      </c>
      <c r="D54" s="1575"/>
      <c r="E54" s="1575"/>
      <c r="F54" s="763" t="s">
        <v>370</v>
      </c>
      <c r="G54" s="764">
        <v>0</v>
      </c>
      <c r="H54" s="763" t="s">
        <v>371</v>
      </c>
      <c r="I54" s="765">
        <f>I35</f>
        <v>22.701000000000001</v>
      </c>
      <c r="J54" s="766">
        <f t="shared" ref="J54:J55" si="1">G54*I54</f>
        <v>0</v>
      </c>
      <c r="K54" s="759"/>
      <c r="L54" s="759"/>
    </row>
    <row r="55" spans="1:12" ht="29.25" customHeight="1" outlineLevel="1">
      <c r="A55" s="716"/>
      <c r="B55" s="696" t="s">
        <v>372</v>
      </c>
      <c r="C55" s="1574" t="s">
        <v>373</v>
      </c>
      <c r="D55" s="1575"/>
      <c r="E55" s="1575"/>
      <c r="F55" s="763" t="s">
        <v>374</v>
      </c>
      <c r="G55" s="764">
        <v>0</v>
      </c>
      <c r="H55" s="763" t="s">
        <v>375</v>
      </c>
      <c r="I55" s="765">
        <f>I37</f>
        <v>30.268000000000001</v>
      </c>
      <c r="J55" s="767">
        <f t="shared" si="1"/>
        <v>0</v>
      </c>
      <c r="K55" s="759"/>
      <c r="L55" s="759"/>
    </row>
    <row r="56" spans="1:12" ht="42" customHeight="1">
      <c r="A56" s="716"/>
      <c r="B56" s="696" t="s">
        <v>376</v>
      </c>
      <c r="C56" s="1576" t="s">
        <v>377</v>
      </c>
      <c r="D56" s="1419"/>
      <c r="E56" s="1419"/>
      <c r="F56" s="763" t="s">
        <v>378</v>
      </c>
      <c r="G56" s="768">
        <f>(G54+G55)*0.2</f>
        <v>0</v>
      </c>
      <c r="H56" s="763"/>
      <c r="I56" s="765"/>
      <c r="J56" s="758">
        <f>ROUND(SUM(J54:J55)*0.2,2)</f>
        <v>0</v>
      </c>
      <c r="K56" s="759"/>
      <c r="L56" s="759"/>
    </row>
    <row r="57" spans="1:12" ht="29.25" customHeight="1">
      <c r="A57" s="716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770"/>
      <c r="L57" s="770"/>
    </row>
    <row r="58" spans="1:12" ht="35.25" customHeight="1">
      <c r="A58" s="716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3025.4700000000003</v>
      </c>
      <c r="K58" s="772"/>
      <c r="L58" s="772"/>
    </row>
    <row r="59" spans="1:12" ht="15.75" customHeight="1">
      <c r="A59" s="716"/>
      <c r="B59" s="773"/>
      <c r="C59" s="1657"/>
      <c r="D59" s="1477"/>
      <c r="E59" s="1477"/>
      <c r="F59" s="1477"/>
      <c r="G59" s="1477"/>
      <c r="H59" s="1477"/>
      <c r="I59" s="1478"/>
      <c r="J59" s="774"/>
      <c r="K59" s="772"/>
      <c r="L59" s="772"/>
    </row>
    <row r="60" spans="1:12" ht="29.25" customHeight="1">
      <c r="A60" s="716"/>
      <c r="B60" s="696" t="s">
        <v>368</v>
      </c>
      <c r="C60" s="1577" t="s">
        <v>382</v>
      </c>
      <c r="D60" s="1477"/>
      <c r="E60" s="1477"/>
      <c r="F60" s="1477"/>
      <c r="G60" s="1477"/>
      <c r="H60" s="1477"/>
      <c r="I60" s="1478"/>
      <c r="J60" s="758">
        <f>ROUND(I34*15*I40*0.5,2)*0</f>
        <v>0</v>
      </c>
      <c r="K60" s="759"/>
      <c r="L60" s="759"/>
    </row>
    <row r="61" spans="1:12" ht="41.25" customHeight="1">
      <c r="A61" s="716"/>
      <c r="B61" s="1572" t="s">
        <v>383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772"/>
      <c r="L61" s="772"/>
    </row>
    <row r="62" spans="1:12" ht="7.5" customHeight="1">
      <c r="A62" s="716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  <c r="L62" s="697"/>
    </row>
    <row r="63" spans="1:12" ht="53.25" customHeight="1">
      <c r="A63" s="716"/>
      <c r="B63" s="1578" t="s">
        <v>384</v>
      </c>
      <c r="C63" s="1477"/>
      <c r="D63" s="1477"/>
      <c r="E63" s="1477"/>
      <c r="F63" s="1477"/>
      <c r="G63" s="1477"/>
      <c r="H63" s="1477"/>
      <c r="I63" s="1478"/>
      <c r="J63" s="775">
        <f>J58+J61</f>
        <v>3025.4700000000003</v>
      </c>
      <c r="K63" s="776"/>
      <c r="L63" s="776"/>
    </row>
    <row r="64" spans="1:12" ht="7.5" customHeight="1">
      <c r="A64" s="716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  <c r="L64" s="777"/>
    </row>
    <row r="65" spans="1:12" ht="21" customHeight="1">
      <c r="A65" s="716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  <c r="L65" s="778"/>
    </row>
    <row r="66" spans="1:12" ht="7.5" customHeight="1">
      <c r="A66" s="716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  <c r="L66" s="777"/>
    </row>
    <row r="67" spans="1:12" ht="17.25" customHeight="1">
      <c r="A67" s="716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779"/>
      <c r="L67" s="779"/>
    </row>
    <row r="68" spans="1:12" ht="17.25" customHeight="1">
      <c r="A68" s="716"/>
      <c r="B68" s="1580" t="s">
        <v>387</v>
      </c>
      <c r="C68" s="1477"/>
      <c r="D68" s="1477"/>
      <c r="E68" s="1477"/>
      <c r="F68" s="1477"/>
      <c r="G68" s="1477"/>
      <c r="H68" s="1477"/>
      <c r="I68" s="1477"/>
      <c r="J68" s="1478"/>
      <c r="K68" s="780"/>
      <c r="L68" s="780"/>
    </row>
    <row r="69" spans="1:12" ht="31.5" customHeight="1">
      <c r="A69" s="716"/>
      <c r="B69" s="781" t="s">
        <v>388</v>
      </c>
      <c r="C69" s="1659" t="s">
        <v>389</v>
      </c>
      <c r="D69" s="1477"/>
      <c r="E69" s="1477"/>
      <c r="F69" s="1477"/>
      <c r="G69" s="1477"/>
      <c r="H69" s="1477"/>
      <c r="I69" s="1478"/>
      <c r="J69" s="782" t="s">
        <v>390</v>
      </c>
      <c r="K69" s="783"/>
      <c r="L69" s="783"/>
    </row>
    <row r="70" spans="1:12" ht="24" customHeight="1">
      <c r="A70" s="716"/>
      <c r="B70" s="781" t="s">
        <v>312</v>
      </c>
      <c r="C70" s="1656" t="s">
        <v>391</v>
      </c>
      <c r="D70" s="1477"/>
      <c r="E70" s="1477"/>
      <c r="F70" s="1477"/>
      <c r="G70" s="1477"/>
      <c r="H70" s="1478"/>
      <c r="I70" s="784">
        <v>8.3299999999999999E-2</v>
      </c>
      <c r="J70" s="785">
        <f>ROUND(J58*I70,2)</f>
        <v>252.02</v>
      </c>
      <c r="K70" s="786"/>
      <c r="L70" s="786"/>
    </row>
    <row r="71" spans="1:12" ht="66.75" customHeight="1">
      <c r="A71" s="716"/>
      <c r="B71" s="781" t="s">
        <v>314</v>
      </c>
      <c r="C71" s="1582" t="s">
        <v>392</v>
      </c>
      <c r="D71" s="1477"/>
      <c r="E71" s="1477"/>
      <c r="F71" s="1477"/>
      <c r="G71" s="1477"/>
      <c r="H71" s="1478"/>
      <c r="I71" s="787">
        <v>3.0249999999999999E-2</v>
      </c>
      <c r="J71" s="785">
        <f>ROUND(J58*I71,2)</f>
        <v>91.52</v>
      </c>
      <c r="K71" s="786"/>
      <c r="L71" s="786"/>
    </row>
    <row r="72" spans="1:12" ht="15.75" customHeight="1">
      <c r="A72" s="716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343.54</v>
      </c>
      <c r="K72" s="789"/>
      <c r="L72" s="789"/>
    </row>
    <row r="73" spans="1:12" ht="12" customHeight="1">
      <c r="A73" s="716"/>
      <c r="B73" s="1661"/>
      <c r="C73" s="1477"/>
      <c r="D73" s="1477"/>
      <c r="E73" s="1477"/>
      <c r="F73" s="1477"/>
      <c r="G73" s="1477"/>
      <c r="H73" s="1477"/>
      <c r="I73" s="1477"/>
      <c r="J73" s="1478"/>
      <c r="K73" s="790"/>
      <c r="L73" s="790"/>
    </row>
    <row r="74" spans="1:12" ht="18.75" customHeight="1">
      <c r="A74" s="716"/>
      <c r="B74" s="1653" t="s">
        <v>394</v>
      </c>
      <c r="C74" s="1477"/>
      <c r="D74" s="1477"/>
      <c r="E74" s="1477"/>
      <c r="F74" s="1477"/>
      <c r="G74" s="1477"/>
      <c r="H74" s="1477"/>
      <c r="I74" s="1477"/>
      <c r="J74" s="1478"/>
      <c r="K74" s="750"/>
      <c r="L74" s="750"/>
    </row>
    <row r="75" spans="1:12" ht="12" customHeight="1">
      <c r="A75" s="716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  <c r="L75" s="750"/>
    </row>
    <row r="76" spans="1:12" ht="35.25" customHeight="1">
      <c r="A76" s="716"/>
      <c r="B76" s="1663" t="s">
        <v>395</v>
      </c>
      <c r="C76" s="1477"/>
      <c r="D76" s="1477"/>
      <c r="E76" s="1477"/>
      <c r="F76" s="1477"/>
      <c r="G76" s="1477"/>
      <c r="H76" s="1477"/>
      <c r="I76" s="1477"/>
      <c r="J76" s="1478"/>
      <c r="K76" s="780"/>
      <c r="L76" s="780"/>
    </row>
    <row r="77" spans="1:12" ht="34.5" customHeight="1">
      <c r="A77" s="716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793" t="s">
        <v>398</v>
      </c>
      <c r="K77" s="783"/>
      <c r="L77" s="783"/>
    </row>
    <row r="78" spans="1:12" ht="16.5" customHeight="1">
      <c r="A78" s="716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673.8</v>
      </c>
      <c r="K78" s="789"/>
      <c r="L78" s="789"/>
    </row>
    <row r="79" spans="1:12" ht="16.5" customHeight="1">
      <c r="A79" s="716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84.23</v>
      </c>
      <c r="K79" s="789"/>
      <c r="L79" s="789"/>
    </row>
    <row r="80" spans="1:12" ht="57.75" customHeight="1">
      <c r="A80" s="716"/>
      <c r="B80" s="794" t="s">
        <v>316</v>
      </c>
      <c r="C80" s="1577" t="s">
        <v>401</v>
      </c>
      <c r="D80" s="1478"/>
      <c r="E80" s="735" t="s">
        <v>402</v>
      </c>
      <c r="F80" s="797">
        <f>'1-ABA-DE-CARREGAMENTO'!C57</f>
        <v>0.03</v>
      </c>
      <c r="G80" s="735" t="s">
        <v>403</v>
      </c>
      <c r="H80" s="798">
        <f>'1-ABA-DE-CARREGAMENTO'!C58</f>
        <v>1</v>
      </c>
      <c r="I80" s="799">
        <f>ROUND((F80*H80),6)</f>
        <v>0.03</v>
      </c>
      <c r="J80" s="796">
        <f>ROUND((J58+J72)*I80,2)</f>
        <v>101.07</v>
      </c>
      <c r="K80" s="789"/>
      <c r="L80" s="789"/>
    </row>
    <row r="81" spans="1:12" ht="16.5" customHeight="1">
      <c r="A81" s="716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50.54</v>
      </c>
      <c r="K81" s="789"/>
      <c r="L81" s="789"/>
    </row>
    <row r="82" spans="1:12" ht="16.5" customHeight="1">
      <c r="A82" s="716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33.69</v>
      </c>
      <c r="K82" s="789"/>
      <c r="L82" s="789"/>
    </row>
    <row r="83" spans="1:12" ht="16.5" customHeight="1">
      <c r="A83" s="716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20.21</v>
      </c>
      <c r="K83" s="789"/>
      <c r="L83" s="789"/>
    </row>
    <row r="84" spans="1:12" ht="16.5" customHeight="1">
      <c r="A84" s="716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6.74</v>
      </c>
      <c r="K84" s="789"/>
      <c r="L84" s="789"/>
    </row>
    <row r="85" spans="1:12" ht="28.5" customHeight="1">
      <c r="A85" s="716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269.52</v>
      </c>
      <c r="K85" s="789"/>
      <c r="L85" s="789"/>
    </row>
    <row r="86" spans="1:12" ht="12" customHeight="1">
      <c r="A86" s="716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2">SUM(I78:I85)</f>
        <v>0.36800000000000005</v>
      </c>
      <c r="J86" s="788">
        <f t="shared" si="2"/>
        <v>1239.8</v>
      </c>
      <c r="K86" s="789"/>
      <c r="L86" s="789"/>
    </row>
    <row r="87" spans="1:12" ht="12" customHeight="1">
      <c r="A87" s="716"/>
      <c r="B87" s="801"/>
      <c r="C87" s="802"/>
      <c r="D87" s="802"/>
      <c r="E87" s="802"/>
      <c r="F87" s="802"/>
      <c r="G87" s="802"/>
      <c r="H87" s="802"/>
      <c r="I87" s="803"/>
      <c r="J87" s="804"/>
      <c r="K87" s="789"/>
      <c r="L87" s="789"/>
    </row>
    <row r="88" spans="1:12" ht="45" customHeight="1">
      <c r="A88" s="716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  <c r="L88" s="750"/>
    </row>
    <row r="89" spans="1:12" ht="12" customHeight="1">
      <c r="A89" s="716"/>
      <c r="B89" s="1618"/>
      <c r="C89" s="1477"/>
      <c r="D89" s="1477"/>
      <c r="E89" s="1477"/>
      <c r="F89" s="1477"/>
      <c r="G89" s="1477"/>
      <c r="H89" s="1477"/>
      <c r="I89" s="1477"/>
      <c r="J89" s="1478"/>
      <c r="K89" s="697"/>
      <c r="L89" s="697"/>
    </row>
    <row r="90" spans="1:12" ht="15" customHeight="1">
      <c r="A90" s="716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780"/>
      <c r="L90" s="780"/>
    </row>
    <row r="91" spans="1:12" ht="15" customHeight="1">
      <c r="A91" s="716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  <c r="L91" s="727"/>
    </row>
    <row r="92" spans="1:12" ht="15" customHeight="1">
      <c r="A92" s="716"/>
      <c r="B92" s="743" t="s">
        <v>312</v>
      </c>
      <c r="C92" s="1577" t="e">
        <f ca="1">IF(F95="o transporte é seletivo", "AUXILIO TRANSPORTE Cálculo do valor: [(n passag dia × vlr passagem × n dias mês ) – (0,06xSB)]", "Transporte Cálculo do valor: [(n passag dia × vlr VT × n dias mês ) – (0,06xSB)]")</f>
        <v>#NAME?</v>
      </c>
      <c r="D92" s="1477"/>
      <c r="E92" s="1477"/>
      <c r="F92" s="1477"/>
      <c r="G92" s="1477"/>
      <c r="H92" s="1478"/>
      <c r="I92" s="807">
        <f>J47</f>
        <v>2161.0500000000002</v>
      </c>
      <c r="J92" s="808">
        <f>IF(ROUND((I93*I95*I94)-(J47*I96),2)&lt;0,0,ROUND((I93*I95*I94)-(J47*I96),2))</f>
        <v>149.96</v>
      </c>
      <c r="K92" s="789"/>
      <c r="L92" s="789"/>
    </row>
    <row r="93" spans="1:12" ht="28.5" customHeight="1">
      <c r="A93" s="716"/>
      <c r="B93" s="743" t="s">
        <v>314</v>
      </c>
      <c r="C93" s="1577" t="s">
        <v>413</v>
      </c>
      <c r="D93" s="1477"/>
      <c r="E93" s="1477"/>
      <c r="F93" s="1477"/>
      <c r="G93" s="1477"/>
      <c r="H93" s="1477"/>
      <c r="I93" s="809">
        <f>'1-ABA-DE-CARREGAMENTO'!C72</f>
        <v>6.82</v>
      </c>
      <c r="J93" s="810" t="s">
        <v>325</v>
      </c>
      <c r="K93" s="770"/>
      <c r="L93" s="770"/>
    </row>
    <row r="94" spans="1:12" ht="17.25" customHeight="1">
      <c r="A94" s="716"/>
      <c r="B94" s="743" t="s">
        <v>316</v>
      </c>
      <c r="C94" s="1577" t="s">
        <v>414</v>
      </c>
      <c r="D94" s="1477"/>
      <c r="E94" s="1477"/>
      <c r="F94" s="1477"/>
      <c r="G94" s="1477"/>
      <c r="H94" s="1478"/>
      <c r="I94" s="811">
        <f>'1-ABA-DE-CARREGAMENTO'!C73</f>
        <v>2</v>
      </c>
      <c r="J94" s="810" t="s">
        <v>325</v>
      </c>
      <c r="K94" s="770"/>
      <c r="L94" s="770"/>
    </row>
    <row r="95" spans="1:12" ht="19.5" customHeight="1">
      <c r="A95" s="716"/>
      <c r="B95" s="743" t="s">
        <v>318</v>
      </c>
      <c r="C95" s="1665" t="s">
        <v>415</v>
      </c>
      <c r="D95" s="1477"/>
      <c r="E95" s="1477"/>
      <c r="F95" s="1666" t="e">
        <f ca="1">getNota('1-ABA-DE-CARREGAMENTO'!C14)</f>
        <v>#NAME?</v>
      </c>
      <c r="G95" s="1477"/>
      <c r="H95" s="812">
        <f>I93*I94*I95</f>
        <v>279.62</v>
      </c>
      <c r="I95" s="813">
        <f>'1-ABA-DE-CARREGAMENTO'!C74</f>
        <v>20.5</v>
      </c>
      <c r="J95" s="810" t="s">
        <v>325</v>
      </c>
      <c r="K95" s="770"/>
      <c r="L95" s="770"/>
    </row>
    <row r="96" spans="1:12" ht="24.75" customHeight="1">
      <c r="A96" s="716"/>
      <c r="B96" s="743" t="s">
        <v>360</v>
      </c>
      <c r="C96" s="1665" t="s">
        <v>416</v>
      </c>
      <c r="D96" s="1477"/>
      <c r="E96" s="1477"/>
      <c r="F96" s="1477"/>
      <c r="G96" s="1477"/>
      <c r="H96" s="812">
        <f>I96*J47</f>
        <v>129.66300000000001</v>
      </c>
      <c r="I96" s="814">
        <f>'1-ABA-DE-CARREGAMENTO'!C75</f>
        <v>0.06</v>
      </c>
      <c r="J96" s="815" t="s">
        <v>325</v>
      </c>
      <c r="K96" s="770"/>
      <c r="L96" s="770"/>
    </row>
    <row r="97" spans="1:12" ht="15" customHeight="1">
      <c r="A97" s="716"/>
      <c r="B97" s="743" t="s">
        <v>364</v>
      </c>
      <c r="C97" s="1577" t="s">
        <v>417</v>
      </c>
      <c r="D97" s="1477"/>
      <c r="E97" s="1477"/>
      <c r="F97" s="1477"/>
      <c r="G97" s="1477"/>
      <c r="H97" s="1477"/>
      <c r="I97" s="1477"/>
      <c r="J97" s="808">
        <f>ROUND(I98*I99,2)-ROUND((I98*I99)*I100,2)</f>
        <v>450.83000000000004</v>
      </c>
      <c r="K97" s="789"/>
      <c r="L97" s="789"/>
    </row>
    <row r="98" spans="1:12" ht="15" customHeight="1">
      <c r="A98" s="716"/>
      <c r="B98" s="743" t="s">
        <v>366</v>
      </c>
      <c r="C98" s="1577" t="s">
        <v>418</v>
      </c>
      <c r="D98" s="1477"/>
      <c r="E98" s="1477"/>
      <c r="F98" s="1477"/>
      <c r="G98" s="1477"/>
      <c r="H98" s="1477"/>
      <c r="I98" s="816">
        <f>IF('1-ABA-DE-CARREGAMENTO'!C60&gt;0,'1-ABA-DE-CARREGAMENTO'!C60,'1-ABA-DE-CARREGAMENTO'!C63)</f>
        <v>27.15</v>
      </c>
      <c r="J98" s="817"/>
      <c r="K98" s="770"/>
      <c r="L98" s="770"/>
    </row>
    <row r="99" spans="1:12" ht="15" customHeight="1">
      <c r="A99" s="716"/>
      <c r="B99" s="743" t="s">
        <v>368</v>
      </c>
      <c r="C99" s="1665" t="s">
        <v>419</v>
      </c>
      <c r="D99" s="1477"/>
      <c r="E99" s="1477"/>
      <c r="F99" s="1477"/>
      <c r="G99" s="1477"/>
      <c r="H99" s="812">
        <f>I98*I99</f>
        <v>556.57499999999993</v>
      </c>
      <c r="I99" s="818">
        <f>'1-ABA-DE-CARREGAMENTO'!C62</f>
        <v>20.5</v>
      </c>
      <c r="J99" s="817"/>
      <c r="K99" s="770"/>
      <c r="L99" s="770"/>
    </row>
    <row r="100" spans="1:12" ht="24.75" customHeight="1">
      <c r="A100" s="716"/>
      <c r="B100" s="794" t="s">
        <v>372</v>
      </c>
      <c r="C100" s="1665" t="s">
        <v>420</v>
      </c>
      <c r="D100" s="1477"/>
      <c r="E100" s="1477"/>
      <c r="F100" s="1477"/>
      <c r="G100" s="1477"/>
      <c r="H100" s="812">
        <f>(I98*I99)*I100</f>
        <v>105.74924999999999</v>
      </c>
      <c r="I100" s="814">
        <f>'1-ABA-DE-CARREGAMENTO'!C61</f>
        <v>0.19</v>
      </c>
      <c r="J100" s="819"/>
      <c r="K100" s="770"/>
      <c r="L100" s="770"/>
    </row>
    <row r="101" spans="1:12" ht="18.75" customHeight="1" outlineLevel="1">
      <c r="A101" s="716"/>
      <c r="B101" s="743" t="s">
        <v>376</v>
      </c>
      <c r="C101" s="1628" t="s">
        <v>421</v>
      </c>
      <c r="D101" s="1575"/>
      <c r="E101" s="1575"/>
      <c r="F101" s="1575"/>
      <c r="G101" s="1575"/>
      <c r="H101" s="1575"/>
      <c r="I101" s="1575"/>
      <c r="J101" s="820">
        <f>'1-ABA-DE-CARREGAMENTO'!C64</f>
        <v>80</v>
      </c>
      <c r="K101" s="789"/>
      <c r="L101" s="789"/>
    </row>
    <row r="102" spans="1:12" ht="33" customHeight="1" outlineLevel="1">
      <c r="A102" s="716"/>
      <c r="B102" s="743" t="s">
        <v>379</v>
      </c>
      <c r="C102" s="1577" t="s">
        <v>422</v>
      </c>
      <c r="D102" s="1477"/>
      <c r="E102" s="1477"/>
      <c r="F102" s="1477"/>
      <c r="G102" s="1477"/>
      <c r="H102" s="1477"/>
      <c r="I102" s="1477"/>
      <c r="J102" s="796">
        <f>'1-ABA-DE-CARREGAMENTO'!C77</f>
        <v>0</v>
      </c>
      <c r="K102" s="789"/>
      <c r="L102" s="789"/>
    </row>
    <row r="103" spans="1:12" ht="33" customHeight="1" outlineLevel="1">
      <c r="A103" s="716"/>
      <c r="B103" s="743" t="s">
        <v>423</v>
      </c>
      <c r="C103" s="1577" t="s">
        <v>424</v>
      </c>
      <c r="D103" s="1477"/>
      <c r="E103" s="1477"/>
      <c r="F103" s="1477"/>
      <c r="G103" s="1477"/>
      <c r="H103" s="1477"/>
      <c r="I103" s="1478"/>
      <c r="J103" s="796">
        <f>'1-ABA-DE-CARREGAMENTO'!C78</f>
        <v>0</v>
      </c>
      <c r="K103" s="789"/>
      <c r="L103" s="789"/>
    </row>
    <row r="104" spans="1:12" ht="16.5" customHeight="1" outlineLevel="1">
      <c r="A104" s="716"/>
      <c r="B104" s="743" t="s">
        <v>425</v>
      </c>
      <c r="C104" s="1577" t="s">
        <v>426</v>
      </c>
      <c r="D104" s="1477"/>
      <c r="E104" s="1477"/>
      <c r="F104" s="1477"/>
      <c r="G104" s="1477"/>
      <c r="H104" s="1477"/>
      <c r="I104" s="1478"/>
      <c r="J104" s="796">
        <f>'1-ABA-DE-CARREGAMENTO'!C76</f>
        <v>25.52</v>
      </c>
      <c r="K104" s="789"/>
      <c r="L104" s="789"/>
    </row>
    <row r="105" spans="1:12" ht="17" outlineLevel="1">
      <c r="A105" s="716"/>
      <c r="B105" s="821" t="s">
        <v>53</v>
      </c>
      <c r="C105" s="1667" t="s">
        <v>427</v>
      </c>
      <c r="D105" s="1477"/>
      <c r="E105" s="1521"/>
      <c r="F105" s="1668" t="s">
        <v>428</v>
      </c>
      <c r="G105" s="1477"/>
      <c r="H105" s="1521"/>
      <c r="I105" s="809">
        <v>526.64</v>
      </c>
      <c r="J105" s="822">
        <f>I105*0.2*I17</f>
        <v>0</v>
      </c>
      <c r="K105" s="789"/>
      <c r="L105" s="789"/>
    </row>
    <row r="106" spans="1:12" ht="23.25" customHeight="1">
      <c r="A106" s="716"/>
      <c r="B106" s="823"/>
      <c r="C106" s="1669" t="s">
        <v>429</v>
      </c>
      <c r="D106" s="1477"/>
      <c r="E106" s="1477"/>
      <c r="F106" s="1477"/>
      <c r="G106" s="1477"/>
      <c r="H106" s="1477"/>
      <c r="I106" s="1478"/>
      <c r="J106" s="788">
        <f>SUM(J92:J105)</f>
        <v>706.31000000000006</v>
      </c>
      <c r="K106" s="789"/>
      <c r="L106" s="789"/>
    </row>
    <row r="107" spans="1:12" ht="10.5" customHeight="1">
      <c r="A107" s="716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697"/>
      <c r="L107" s="697"/>
    </row>
    <row r="108" spans="1:12" ht="34.5" customHeight="1">
      <c r="A108" s="716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  <c r="L108" s="750"/>
    </row>
    <row r="109" spans="1:12" ht="6" customHeight="1">
      <c r="A109" s="716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  <c r="L109" s="697"/>
    </row>
    <row r="110" spans="1:12" ht="19.5" customHeight="1">
      <c r="A110" s="716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  <c r="L110" s="779"/>
    </row>
    <row r="111" spans="1:12" ht="19.5" customHeight="1">
      <c r="A111" s="716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793" t="s">
        <v>390</v>
      </c>
      <c r="K111" s="783"/>
      <c r="L111" s="783"/>
    </row>
    <row r="112" spans="1:12" ht="19.5" customHeight="1">
      <c r="A112" s="716"/>
      <c r="B112" s="733" t="s">
        <v>388</v>
      </c>
      <c r="C112" s="1656" t="s">
        <v>433</v>
      </c>
      <c r="D112" s="1477"/>
      <c r="E112" s="1477"/>
      <c r="F112" s="1477"/>
      <c r="G112" s="1477"/>
      <c r="H112" s="1477"/>
      <c r="I112" s="1478"/>
      <c r="J112" s="824">
        <f>J72</f>
        <v>343.54</v>
      </c>
      <c r="K112" s="825"/>
      <c r="L112" s="825"/>
    </row>
    <row r="113" spans="1:12" ht="19.5" customHeight="1">
      <c r="A113" s="716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1239.8</v>
      </c>
      <c r="K113" s="825"/>
      <c r="L113" s="825"/>
    </row>
    <row r="114" spans="1:12" ht="19.5" customHeight="1">
      <c r="A114" s="716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706.31000000000006</v>
      </c>
      <c r="K114" s="825"/>
      <c r="L114" s="825"/>
    </row>
    <row r="115" spans="1:12" ht="14.25" customHeight="1">
      <c r="A115" s="716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2289.65</v>
      </c>
      <c r="K115" s="825"/>
      <c r="L115" s="825"/>
    </row>
    <row r="116" spans="1:12" ht="14.25" customHeight="1">
      <c r="A116" s="716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  <c r="L116" s="827"/>
    </row>
    <row r="117" spans="1:12" ht="18.75" customHeight="1">
      <c r="A117" s="716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828"/>
      <c r="L117" s="828"/>
    </row>
    <row r="118" spans="1:12" ht="15.75" customHeight="1">
      <c r="A118" s="716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805" t="s">
        <v>390</v>
      </c>
      <c r="K118" s="727"/>
      <c r="L118" s="727"/>
    </row>
    <row r="119" spans="1:12" ht="46.5" customHeight="1">
      <c r="A119" s="716"/>
      <c r="B119" s="743" t="s">
        <v>312</v>
      </c>
      <c r="C119" s="1577" t="s">
        <v>436</v>
      </c>
      <c r="D119" s="1477"/>
      <c r="E119" s="1477"/>
      <c r="F119" s="1477"/>
      <c r="G119" s="1477"/>
      <c r="H119" s="1477"/>
      <c r="I119" s="1478"/>
      <c r="J119" s="829">
        <f>ROUND((($J$58/12)+($J$70/12)+(J58/12/12)+($J$71/12))*(30/30)*0.05,2)</f>
        <v>15.09</v>
      </c>
      <c r="K119" s="727"/>
      <c r="L119" s="789"/>
    </row>
    <row r="120" spans="1:12" ht="20.25" customHeight="1">
      <c r="A120" s="716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1.21</v>
      </c>
      <c r="K120" s="727"/>
      <c r="L120" s="789"/>
    </row>
    <row r="121" spans="1:12" ht="70.5" customHeight="1">
      <c r="A121" s="716"/>
      <c r="B121" s="743" t="s">
        <v>316</v>
      </c>
      <c r="C121" s="1672" t="s">
        <v>438</v>
      </c>
      <c r="D121" s="1477"/>
      <c r="E121" s="1477"/>
      <c r="F121" s="1477"/>
      <c r="G121" s="1477"/>
      <c r="H121" s="1477"/>
      <c r="I121" s="830" t="str">
        <f>IF(J121&lt;J58*1.94%,"OK","VERIFIQUE")</f>
        <v>OK</v>
      </c>
      <c r="J121" s="796">
        <f>ROUND(((7/30)/$I$11)*$J$58*1,2)</f>
        <v>23.53</v>
      </c>
      <c r="K121" s="727"/>
      <c r="L121" s="789"/>
    </row>
    <row r="122" spans="1:12" ht="17.25" customHeight="1">
      <c r="A122" s="716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8.66</v>
      </c>
      <c r="K122" s="789"/>
      <c r="L122" s="789"/>
    </row>
    <row r="123" spans="1:12" ht="36.75" customHeight="1">
      <c r="A123" s="716"/>
      <c r="B123" s="743" t="s">
        <v>360</v>
      </c>
      <c r="C123" s="1577" t="s">
        <v>440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121.02</v>
      </c>
      <c r="K123" s="744"/>
      <c r="L123" s="744"/>
    </row>
    <row r="124" spans="1:12" ht="19.5" customHeight="1">
      <c r="A124" s="716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169.51</v>
      </c>
      <c r="K124" s="789"/>
      <c r="L124" s="789"/>
    </row>
    <row r="125" spans="1:12" ht="9.75" customHeight="1">
      <c r="A125" s="716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777"/>
      <c r="L125" s="777"/>
    </row>
    <row r="126" spans="1:12" ht="17.25" customHeight="1">
      <c r="A126" s="716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  <c r="L126" s="828"/>
    </row>
    <row r="127" spans="1:12" ht="29.25" customHeight="1">
      <c r="A127" s="716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  <c r="L127" s="750"/>
    </row>
    <row r="128" spans="1:12" ht="57.75" customHeight="1">
      <c r="A128" s="716"/>
      <c r="B128" s="1663" t="s">
        <v>444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  <c r="L128" s="780"/>
    </row>
    <row r="129" spans="1:12" ht="36" customHeight="1">
      <c r="A129" s="716"/>
      <c r="B129" s="832" t="s">
        <v>445</v>
      </c>
      <c r="C129" s="833">
        <f>J58</f>
        <v>3025.4700000000003</v>
      </c>
      <c r="D129" s="834" t="s">
        <v>446</v>
      </c>
      <c r="E129" s="832" t="s">
        <v>447</v>
      </c>
      <c r="F129" s="833">
        <f>J115-J92-J97-J105</f>
        <v>1688.8600000000001</v>
      </c>
      <c r="G129" s="834" t="s">
        <v>446</v>
      </c>
      <c r="H129" s="832" t="s">
        <v>448</v>
      </c>
      <c r="I129" s="833">
        <f>J124</f>
        <v>169.51</v>
      </c>
      <c r="J129" s="835">
        <f>C129+F129+I129</f>
        <v>4883.84</v>
      </c>
      <c r="K129" s="836"/>
      <c r="L129" s="836"/>
    </row>
    <row r="130" spans="1:12" ht="15.75" customHeight="1">
      <c r="A130" s="716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  <c r="L130" s="837"/>
    </row>
    <row r="131" spans="1:12" ht="15.75" customHeight="1">
      <c r="A131" s="716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  <c r="L131" s="838"/>
    </row>
    <row r="132" spans="1:12" ht="17.25" customHeight="1">
      <c r="A132" s="716"/>
      <c r="B132" s="805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839" t="s">
        <v>390</v>
      </c>
      <c r="K132" s="727"/>
      <c r="L132" s="727"/>
    </row>
    <row r="133" spans="1:12" ht="39" customHeight="1">
      <c r="A133" s="716"/>
      <c r="B133" s="743" t="s">
        <v>312</v>
      </c>
      <c r="C133" s="1656" t="s">
        <v>452</v>
      </c>
      <c r="D133" s="1477"/>
      <c r="E133" s="1477"/>
      <c r="F133" s="1477"/>
      <c r="G133" s="1477"/>
      <c r="H133" s="840">
        <v>9.0749999999999997E-2</v>
      </c>
      <c r="I133" s="841">
        <f>I86</f>
        <v>0.36800000000000005</v>
      </c>
      <c r="J133" s="842">
        <f>IF('1-ABA-DE-CARREGAMENTO'!C81="S",(ROUND(H133*J58,2)*(1+I133)),IF('1-ABA-DE-CARREGAMENTO'!C81="N",0,"INFORME S ou N"))</f>
        <v>0</v>
      </c>
      <c r="K133" s="789"/>
      <c r="L133" s="789"/>
    </row>
    <row r="134" spans="1:12" ht="21.75" customHeight="1">
      <c r="A134" s="716"/>
      <c r="B134" s="743" t="s">
        <v>314</v>
      </c>
      <c r="C134" s="1577" t="s">
        <v>453</v>
      </c>
      <c r="D134" s="1477"/>
      <c r="E134" s="1477"/>
      <c r="F134" s="1477"/>
      <c r="G134" s="1477"/>
      <c r="H134" s="1477"/>
      <c r="I134" s="1478"/>
      <c r="J134" s="820">
        <f>ROUND((1/30)/12*(J129),2)</f>
        <v>13.57</v>
      </c>
      <c r="K134" s="789"/>
      <c r="L134" s="789"/>
    </row>
    <row r="135" spans="1:12" ht="32.25" customHeight="1">
      <c r="A135" s="716"/>
      <c r="B135" s="743" t="s">
        <v>316</v>
      </c>
      <c r="C135" s="1577" t="s">
        <v>454</v>
      </c>
      <c r="D135" s="1477"/>
      <c r="E135" s="1477"/>
      <c r="F135" s="1477"/>
      <c r="G135" s="1477"/>
      <c r="H135" s="1477"/>
      <c r="I135" s="1478"/>
      <c r="J135" s="796">
        <f>ROUND((5/30)/12*0.015*(J129),2)</f>
        <v>1.02</v>
      </c>
      <c r="K135" s="789"/>
      <c r="L135" s="789"/>
    </row>
    <row r="136" spans="1:12" ht="32.25" customHeight="1">
      <c r="A136" s="716"/>
      <c r="B136" s="743" t="s">
        <v>318</v>
      </c>
      <c r="C136" s="1577" t="s">
        <v>455</v>
      </c>
      <c r="D136" s="1477"/>
      <c r="E136" s="1477"/>
      <c r="F136" s="1477"/>
      <c r="G136" s="1477"/>
      <c r="H136" s="1477"/>
      <c r="I136" s="1478"/>
      <c r="J136" s="796">
        <f>ROUND(((15/30)/12)*0.0078*(J129),2)</f>
        <v>1.59</v>
      </c>
      <c r="K136" s="789"/>
      <c r="L136" s="789"/>
    </row>
    <row r="137" spans="1:12" ht="32.25" customHeight="1">
      <c r="A137" s="716"/>
      <c r="B137" s="843" t="s">
        <v>360</v>
      </c>
      <c r="C137" s="1676" t="s">
        <v>456</v>
      </c>
      <c r="D137" s="1477"/>
      <c r="E137" s="1477"/>
      <c r="F137" s="1477"/>
      <c r="G137" s="1477"/>
      <c r="H137" s="1477"/>
      <c r="I137" s="1478"/>
      <c r="J137" s="844">
        <f>ROUND(((((C129+C129/3)+(I86)*(C129+C129/3))*(4/12))/12)*0.02,2) + ((J106-J92-J97-J105+J124)*4/12)*0.02</f>
        <v>4.9035333333333329</v>
      </c>
      <c r="K137" s="789"/>
      <c r="L137" s="789"/>
    </row>
    <row r="138" spans="1:12" ht="61.5" customHeight="1">
      <c r="A138" s="716"/>
      <c r="B138" s="743" t="s">
        <v>364</v>
      </c>
      <c r="C138" s="1577" t="s">
        <v>457</v>
      </c>
      <c r="D138" s="1477"/>
      <c r="E138" s="1477"/>
      <c r="F138" s="1477"/>
      <c r="G138" s="1477"/>
      <c r="H138" s="1477"/>
      <c r="I138" s="1478"/>
      <c r="J138" s="845">
        <f>ROUND(((3/30)/12)*(J129),2)</f>
        <v>40.700000000000003</v>
      </c>
      <c r="K138" s="789"/>
      <c r="L138" s="789"/>
    </row>
    <row r="139" spans="1:12" ht="19.5" customHeight="1">
      <c r="A139" s="716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61.783533333333338</v>
      </c>
      <c r="K139" s="789"/>
      <c r="L139" s="789"/>
    </row>
    <row r="140" spans="1:12" ht="9" customHeight="1">
      <c r="A140" s="716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777"/>
      <c r="L140" s="777"/>
    </row>
    <row r="141" spans="1:12" ht="19.5" customHeight="1">
      <c r="A141" s="716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780"/>
      <c r="L141" s="780"/>
    </row>
    <row r="142" spans="1:12" ht="19.5" customHeight="1">
      <c r="A142" s="716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848"/>
      <c r="L142" s="848"/>
    </row>
    <row r="143" spans="1:12" ht="19.5" customHeight="1">
      <c r="A143" s="716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825"/>
      <c r="L143" s="825"/>
    </row>
    <row r="144" spans="1:12" ht="19.5" customHeight="1">
      <c r="A144" s="716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825"/>
      <c r="L144" s="825"/>
    </row>
    <row r="145" spans="1:12" ht="9" customHeight="1">
      <c r="A145" s="716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852"/>
      <c r="L145" s="852"/>
    </row>
    <row r="146" spans="1:12" ht="19.5" customHeight="1">
      <c r="A146" s="716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779"/>
      <c r="L146" s="779"/>
    </row>
    <row r="147" spans="1:12" ht="19.5" customHeight="1">
      <c r="A147" s="716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848"/>
      <c r="L147" s="848"/>
    </row>
    <row r="148" spans="1:12" ht="28.5" customHeight="1">
      <c r="A148" s="716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61.783533333333338</v>
      </c>
      <c r="K148" s="825"/>
      <c r="L148" s="825"/>
    </row>
    <row r="149" spans="1:12" ht="24" customHeight="1">
      <c r="A149" s="716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825"/>
      <c r="L149" s="825"/>
    </row>
    <row r="150" spans="1:12" ht="24" customHeight="1">
      <c r="A150" s="716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61.783533333333338</v>
      </c>
      <c r="K150" s="825"/>
      <c r="L150" s="825"/>
    </row>
    <row r="151" spans="1:12" ht="9" customHeight="1">
      <c r="A151" s="716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852"/>
      <c r="L151" s="852"/>
    </row>
    <row r="152" spans="1:12" ht="15.75" customHeight="1">
      <c r="A152" s="716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  <c r="L152" s="828"/>
    </row>
    <row r="153" spans="1:12" ht="15.75" customHeight="1">
      <c r="A153" s="716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805" t="s">
        <v>390</v>
      </c>
      <c r="K153" s="727"/>
      <c r="L153" s="727"/>
    </row>
    <row r="154" spans="1:12" ht="18" customHeight="1">
      <c r="A154" s="716"/>
      <c r="B154" s="743" t="s">
        <v>312</v>
      </c>
      <c r="C154" s="1577" t="s">
        <v>467</v>
      </c>
      <c r="D154" s="1477"/>
      <c r="E154" s="1477"/>
      <c r="F154" s="1477"/>
      <c r="G154" s="1477"/>
      <c r="H154" s="1477"/>
      <c r="I154" s="1478"/>
      <c r="J154" s="853">
        <f>'Uniformes - EPIs_TODOS'!I9</f>
        <v>1.7210000000000001</v>
      </c>
      <c r="K154" s="789"/>
      <c r="L154" s="789"/>
    </row>
    <row r="155" spans="1:12" ht="18" customHeight="1">
      <c r="A155" s="716"/>
      <c r="B155" s="743" t="s">
        <v>314</v>
      </c>
      <c r="C155" s="1577" t="s">
        <v>466</v>
      </c>
      <c r="D155" s="1477"/>
      <c r="E155" s="1477"/>
      <c r="F155" s="1477"/>
      <c r="G155" s="1477"/>
      <c r="H155" s="1477"/>
      <c r="I155" s="1478"/>
      <c r="J155" s="854">
        <v>0</v>
      </c>
      <c r="K155" s="789"/>
      <c r="L155" s="789"/>
    </row>
    <row r="156" spans="1:12" ht="18" customHeight="1">
      <c r="A156" s="716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55">
        <v>0</v>
      </c>
      <c r="K156" s="856"/>
      <c r="L156" s="856"/>
    </row>
    <row r="157" spans="1:12" ht="19.5" customHeight="1">
      <c r="A157" s="716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1.72</v>
      </c>
      <c r="K157" s="789"/>
      <c r="L157" s="789"/>
    </row>
    <row r="158" spans="1:12" ht="9" customHeight="1">
      <c r="A158" s="716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858"/>
      <c r="L158" s="858"/>
    </row>
    <row r="159" spans="1:12" ht="27.75" customHeight="1">
      <c r="A159" s="716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30"/>
      <c r="L159" s="730"/>
    </row>
    <row r="160" spans="1:12" ht="9" customHeight="1">
      <c r="A160" s="716"/>
      <c r="B160" s="859"/>
      <c r="C160" s="860"/>
      <c r="D160" s="860"/>
      <c r="E160" s="860"/>
      <c r="F160" s="860"/>
      <c r="G160" s="860"/>
      <c r="H160" s="860"/>
      <c r="I160" s="860"/>
      <c r="J160" s="861"/>
      <c r="K160" s="862"/>
      <c r="L160" s="862"/>
    </row>
    <row r="161" spans="1:12" ht="24" customHeight="1">
      <c r="A161" s="716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828"/>
      <c r="L161" s="828"/>
    </row>
    <row r="162" spans="1:12" ht="27.75" customHeight="1">
      <c r="A162" s="716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  <c r="L162" s="865"/>
    </row>
    <row r="163" spans="1:12" ht="54.75" customHeight="1">
      <c r="A163" s="716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866">
        <f>SUM(J63+J115+J124+J150+J157)</f>
        <v>5548.1335333333345</v>
      </c>
      <c r="K163" s="867"/>
      <c r="L163" s="749"/>
    </row>
    <row r="164" spans="1:12" ht="25.5" customHeight="1">
      <c r="A164" s="716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'1-ABA-DE-CARREGAMENTO'!C85</f>
        <v>0.06</v>
      </c>
      <c r="J164" s="796">
        <f>ROUND(I164*(J163),2)</f>
        <v>332.89</v>
      </c>
      <c r="K164" s="867"/>
      <c r="L164" s="789"/>
    </row>
    <row r="165" spans="1:12" ht="52.5" customHeight="1">
      <c r="A165" s="716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866">
        <f>SUM(J63+J115+J124+J150+J157+J164)</f>
        <v>5881.0235333333349</v>
      </c>
      <c r="K165" s="867"/>
      <c r="L165" s="749"/>
    </row>
    <row r="166" spans="1:12" ht="19.5" customHeight="1">
      <c r="A166" s="716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'1-ABA-DE-CARREGAMENTO'!C86</f>
        <v>0.06</v>
      </c>
      <c r="J166" s="796">
        <f>ROUND(I166*J165,2)</f>
        <v>352.86</v>
      </c>
      <c r="K166" s="869"/>
      <c r="L166" s="789"/>
    </row>
    <row r="167" spans="1:12" ht="49.5" customHeight="1">
      <c r="A167" s="716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866">
        <f>SUM(J163+J164+J166)</f>
        <v>6233.8835333333345</v>
      </c>
      <c r="K167" s="869"/>
      <c r="L167" s="749"/>
    </row>
    <row r="168" spans="1:12" ht="18.75" customHeight="1">
      <c r="A168" s="716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769" t="s">
        <v>325</v>
      </c>
      <c r="K168" s="869"/>
      <c r="L168" s="770"/>
    </row>
    <row r="169" spans="1:12" ht="30" customHeight="1">
      <c r="A169" s="716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769" t="s">
        <v>325</v>
      </c>
      <c r="K169" s="869"/>
      <c r="L169" s="770"/>
    </row>
    <row r="170" spans="1:12" ht="23.25" customHeight="1">
      <c r="A170" s="716"/>
      <c r="B170" s="743"/>
      <c r="C170" s="1590" t="s">
        <v>479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758">
        <f t="shared" ref="J170:J171" si="3">ROUND(($J$167/(1-$I$179))*I170,2)</f>
        <v>115.9</v>
      </c>
      <c r="K170" s="869"/>
      <c r="L170" s="759"/>
    </row>
    <row r="171" spans="1:12" ht="23.25" customHeight="1">
      <c r="A171" s="716"/>
      <c r="B171" s="743"/>
      <c r="C171" s="1590" t="s">
        <v>480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758">
        <f t="shared" si="3"/>
        <v>533.83000000000004</v>
      </c>
      <c r="K171" s="869"/>
      <c r="L171" s="759"/>
    </row>
    <row r="172" spans="1:12" ht="29.25" customHeight="1">
      <c r="A172" s="716"/>
      <c r="B172" s="743"/>
      <c r="C172" s="1577" t="s">
        <v>481</v>
      </c>
      <c r="D172" s="1477"/>
      <c r="E172" s="1477"/>
      <c r="F172" s="1477"/>
      <c r="G172" s="1477"/>
      <c r="H172" s="1478"/>
      <c r="I172" s="872" t="s">
        <v>325</v>
      </c>
      <c r="J172" s="769" t="s">
        <v>325</v>
      </c>
      <c r="K172" s="869"/>
      <c r="L172" s="770"/>
    </row>
    <row r="173" spans="1:12" ht="29.25" customHeight="1">
      <c r="A173" s="716"/>
      <c r="B173" s="743"/>
      <c r="C173" s="1577" t="s">
        <v>482</v>
      </c>
      <c r="D173" s="1477"/>
      <c r="E173" s="1477"/>
      <c r="F173" s="1477"/>
      <c r="G173" s="1477"/>
      <c r="H173" s="1478"/>
      <c r="I173" s="872" t="s">
        <v>325</v>
      </c>
      <c r="J173" s="769" t="s">
        <v>325</v>
      </c>
      <c r="K173" s="869"/>
      <c r="L173" s="770"/>
    </row>
    <row r="174" spans="1:12" ht="15.75" customHeight="1">
      <c r="A174" s="716"/>
      <c r="B174" s="743"/>
      <c r="C174" s="1577" t="s">
        <v>483</v>
      </c>
      <c r="D174" s="1477"/>
      <c r="E174" s="1477"/>
      <c r="F174" s="1477"/>
      <c r="G174" s="1477"/>
      <c r="H174" s="1477"/>
      <c r="I174" s="872" t="s">
        <v>325</v>
      </c>
      <c r="J174" s="769" t="s">
        <v>325</v>
      </c>
      <c r="K174" s="869"/>
      <c r="L174" s="770"/>
    </row>
    <row r="175" spans="1:12" ht="15.75" customHeight="1">
      <c r="A175" s="716"/>
      <c r="B175" s="743"/>
      <c r="C175" s="1577" t="s">
        <v>484</v>
      </c>
      <c r="D175" s="1477"/>
      <c r="E175" s="1477"/>
      <c r="F175" s="1477"/>
      <c r="G175" s="1477"/>
      <c r="H175" s="1477"/>
      <c r="I175" s="872" t="s">
        <v>325</v>
      </c>
      <c r="J175" s="769" t="s">
        <v>325</v>
      </c>
      <c r="K175" s="869"/>
      <c r="L175" s="770"/>
    </row>
    <row r="176" spans="1:12" ht="15.75" customHeight="1">
      <c r="A176" s="716"/>
      <c r="B176" s="743"/>
      <c r="C176" s="1577" t="s">
        <v>485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758">
        <f>ROUND(($J$167/(1-$I$179))*I176,2)</f>
        <v>140.47999999999999</v>
      </c>
      <c r="K176" s="869"/>
      <c r="L176" s="759"/>
    </row>
    <row r="177" spans="1:12" ht="15.75" customHeight="1">
      <c r="A177" s="716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788">
        <f>SUM(J164+J166+J170+J171+J176)</f>
        <v>1475.96</v>
      </c>
      <c r="K177" s="867"/>
      <c r="L177" s="789"/>
    </row>
    <row r="178" spans="1:12" ht="11.25" customHeight="1">
      <c r="A178" s="716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777"/>
      <c r="L178" s="777"/>
    </row>
    <row r="179" spans="1:12" ht="15.75" customHeight="1">
      <c r="A179" s="716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4">SUM(I170:I176)</f>
        <v>0.1125</v>
      </c>
      <c r="J179" s="866">
        <f t="shared" si="4"/>
        <v>790.21</v>
      </c>
      <c r="K179" s="749"/>
      <c r="L179" s="749"/>
    </row>
    <row r="180" spans="1:12" ht="15.75" customHeight="1">
      <c r="A180" s="716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6"/>
      <c r="L180" s="876"/>
    </row>
    <row r="181" spans="1:12" ht="15.75" customHeight="1">
      <c r="A181" s="716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8"/>
      <c r="L181" s="878"/>
    </row>
    <row r="182" spans="1:12" ht="15.75" customHeight="1">
      <c r="A182" s="716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6"/>
      <c r="L182" s="876"/>
    </row>
    <row r="183" spans="1:12" ht="10.5" customHeight="1">
      <c r="A183" s="716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879"/>
      <c r="L183" s="879"/>
    </row>
    <row r="184" spans="1:12" ht="30" customHeight="1">
      <c r="A184" s="716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  <c r="L184" s="730"/>
    </row>
    <row r="185" spans="1:12" ht="9.75" customHeight="1">
      <c r="A185" s="716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777"/>
      <c r="L185" s="777"/>
    </row>
    <row r="186" spans="1:12" ht="15.75" customHeight="1">
      <c r="A186" s="716"/>
      <c r="B186" s="1674" t="s">
        <v>492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  <c r="L186" s="828"/>
    </row>
    <row r="187" spans="1:12" ht="15.75" customHeight="1">
      <c r="A187" s="716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863" t="s">
        <v>390</v>
      </c>
      <c r="K187" s="697"/>
      <c r="L187" s="697"/>
    </row>
    <row r="188" spans="1:12" ht="15.75" customHeight="1">
      <c r="A188" s="716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3025.4700000000003</v>
      </c>
      <c r="K188" s="789"/>
      <c r="L188" s="789"/>
    </row>
    <row r="189" spans="1:12" ht="15.75" customHeight="1">
      <c r="A189" s="716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2289.65</v>
      </c>
      <c r="K189" s="789"/>
      <c r="L189" s="789"/>
    </row>
    <row r="190" spans="1:12" ht="15.75" customHeight="1">
      <c r="A190" s="716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169.51</v>
      </c>
      <c r="K190" s="789"/>
      <c r="L190" s="789"/>
    </row>
    <row r="191" spans="1:12" ht="15.75" customHeight="1">
      <c r="A191" s="716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61.783533333333338</v>
      </c>
      <c r="K191" s="789"/>
      <c r="L191" s="789"/>
    </row>
    <row r="192" spans="1:12" ht="15.75" customHeight="1">
      <c r="A192" s="716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1.72</v>
      </c>
      <c r="K192" s="789"/>
      <c r="L192" s="789"/>
    </row>
    <row r="193" spans="1:12" ht="15.75" customHeight="1">
      <c r="A193" s="716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5548.13</v>
      </c>
      <c r="K193" s="789"/>
      <c r="L193" s="789"/>
    </row>
    <row r="194" spans="1:12" ht="15.75" customHeight="1">
      <c r="A194" s="716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1475.96</v>
      </c>
      <c r="K194" s="789"/>
      <c r="L194" s="789"/>
    </row>
    <row r="195" spans="1:12" ht="23.25" customHeight="1">
      <c r="A195" s="716"/>
      <c r="B195" s="1690" t="s">
        <v>500</v>
      </c>
      <c r="C195" s="1477"/>
      <c r="D195" s="1477"/>
      <c r="E195" s="1477"/>
      <c r="F195" s="1477"/>
      <c r="G195" s="1477"/>
      <c r="H195" s="1477"/>
      <c r="I195" s="1521"/>
      <c r="J195" s="883">
        <f>J193+J194</f>
        <v>7024.09</v>
      </c>
      <c r="K195" s="789"/>
      <c r="L195" s="789"/>
    </row>
    <row r="196" spans="1:12" ht="42" customHeight="1">
      <c r="A196" s="716"/>
      <c r="B196" s="1691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789"/>
      <c r="L196" s="789"/>
    </row>
    <row r="197" spans="1:12" ht="12" customHeight="1">
      <c r="A197" s="716"/>
      <c r="B197" s="1692"/>
      <c r="C197" s="1477"/>
      <c r="D197" s="1477"/>
      <c r="E197" s="1477"/>
      <c r="F197" s="1477"/>
      <c r="G197" s="1477"/>
      <c r="H197" s="1477"/>
      <c r="I197" s="1477"/>
      <c r="J197" s="1478"/>
      <c r="K197" s="884"/>
      <c r="L197" s="884"/>
    </row>
    <row r="198" spans="1:12" ht="15.75" customHeight="1">
      <c r="A198" s="716"/>
      <c r="B198" s="885"/>
      <c r="C198" s="723"/>
      <c r="D198" s="723"/>
      <c r="E198" s="723"/>
      <c r="F198" s="723"/>
      <c r="G198" s="723"/>
      <c r="H198" s="723"/>
      <c r="I198" s="886"/>
      <c r="J198" s="887"/>
      <c r="K198" s="888"/>
      <c r="L198" s="888"/>
    </row>
    <row r="199" spans="1:12" ht="20.25" customHeight="1">
      <c r="A199" s="716"/>
      <c r="B199" s="1693" t="s">
        <v>502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  <c r="L199" s="724"/>
    </row>
    <row r="200" spans="1:12" ht="52.5" customHeight="1">
      <c r="A200" s="716"/>
      <c r="B200" s="1641" t="s">
        <v>503</v>
      </c>
      <c r="C200" s="1477"/>
      <c r="D200" s="1477"/>
      <c r="E200" s="1478"/>
      <c r="F200" s="889" t="s">
        <v>504</v>
      </c>
      <c r="G200" s="890" t="s">
        <v>505</v>
      </c>
      <c r="H200" s="891" t="s">
        <v>506</v>
      </c>
      <c r="I200" s="1641" t="s">
        <v>507</v>
      </c>
      <c r="J200" s="1478"/>
      <c r="K200" s="697"/>
      <c r="L200" s="697"/>
    </row>
    <row r="201" spans="1:12" ht="33.75" hidden="1" customHeight="1" outlineLevel="1">
      <c r="A201" s="716"/>
      <c r="B201" s="1577" t="s">
        <v>508</v>
      </c>
      <c r="C201" s="1477"/>
      <c r="D201" s="1477"/>
      <c r="E201" s="1478"/>
      <c r="F201" s="1694">
        <v>0</v>
      </c>
      <c r="G201" s="1478"/>
      <c r="H201" s="892">
        <f t="shared" ref="H201:H202" si="5">E201*F201</f>
        <v>0</v>
      </c>
      <c r="I201" s="1694">
        <f t="shared" ref="I201:I202" si="6">F201*H201</f>
        <v>0</v>
      </c>
      <c r="J201" s="1478"/>
      <c r="K201" s="770"/>
      <c r="L201" s="770"/>
    </row>
    <row r="202" spans="1:12" ht="33.75" hidden="1" customHeight="1" outlineLevel="1">
      <c r="A202" s="716"/>
      <c r="B202" s="1577" t="s">
        <v>509</v>
      </c>
      <c r="C202" s="1477"/>
      <c r="D202" s="1477"/>
      <c r="E202" s="1478"/>
      <c r="F202" s="1694">
        <v>0</v>
      </c>
      <c r="G202" s="1478"/>
      <c r="H202" s="893">
        <f t="shared" si="5"/>
        <v>0</v>
      </c>
      <c r="I202" s="1694">
        <f t="shared" si="6"/>
        <v>0</v>
      </c>
      <c r="J202" s="1478"/>
      <c r="K202" s="770"/>
      <c r="L202" s="770"/>
    </row>
    <row r="203" spans="1:12" ht="30.75" customHeight="1" collapsed="1">
      <c r="A203" s="716"/>
      <c r="B203" s="1609" t="str">
        <f>B3</f>
        <v>5162_20_CUIDADOR-de-ALUNOS_40h</v>
      </c>
      <c r="C203" s="1477"/>
      <c r="D203" s="1477"/>
      <c r="E203" s="1478"/>
      <c r="F203" s="894">
        <f>J195</f>
        <v>7024.09</v>
      </c>
      <c r="G203" s="895">
        <f>I40</f>
        <v>1</v>
      </c>
      <c r="H203" s="896"/>
      <c r="I203" s="1695">
        <f>ROUND(F203*G203,2)</f>
        <v>7024.09</v>
      </c>
      <c r="J203" s="1478"/>
      <c r="K203" s="897" t="s">
        <v>510</v>
      </c>
      <c r="L203" s="897" t="str">
        <f>B3</f>
        <v>5162_20_CUIDADOR-de-ALUNOS_40h</v>
      </c>
    </row>
    <row r="204" spans="1:12" ht="38.25" hidden="1" customHeight="1" outlineLevel="1">
      <c r="A204" s="716"/>
      <c r="B204" s="1577" t="s">
        <v>511</v>
      </c>
      <c r="C204" s="1477"/>
      <c r="D204" s="1477"/>
      <c r="E204" s="1478"/>
      <c r="F204" s="1696">
        <v>0</v>
      </c>
      <c r="G204" s="1478"/>
      <c r="H204" s="898">
        <f t="shared" ref="H204:I204" si="7">E204*G204</f>
        <v>0</v>
      </c>
      <c r="I204" s="1696">
        <f t="shared" si="7"/>
        <v>0</v>
      </c>
      <c r="J204" s="1478"/>
      <c r="K204" s="770"/>
      <c r="L204" s="770"/>
    </row>
    <row r="205" spans="1:12" ht="39" hidden="1" customHeight="1" outlineLevel="1">
      <c r="A205" s="716"/>
      <c r="B205" s="1577" t="s">
        <v>512</v>
      </c>
      <c r="C205" s="1477"/>
      <c r="D205" s="1477"/>
      <c r="E205" s="1478"/>
      <c r="F205" s="1696">
        <v>0</v>
      </c>
      <c r="G205" s="1478"/>
      <c r="H205" s="898">
        <f t="shared" ref="H205:I205" si="8">E205*G205</f>
        <v>0</v>
      </c>
      <c r="I205" s="1696">
        <f t="shared" si="8"/>
        <v>0</v>
      </c>
      <c r="J205" s="1478"/>
      <c r="K205" s="770"/>
      <c r="L205" s="770"/>
    </row>
    <row r="206" spans="1:12" ht="33.75" hidden="1" customHeight="1" outlineLevel="1">
      <c r="A206" s="716"/>
      <c r="B206" s="1698" t="s">
        <v>513</v>
      </c>
      <c r="C206" s="1477"/>
      <c r="D206" s="1477"/>
      <c r="E206" s="1478"/>
      <c r="F206" s="1694">
        <v>0</v>
      </c>
      <c r="G206" s="1478"/>
      <c r="H206" s="898">
        <f t="shared" ref="H206:I206" si="9">E206*G206</f>
        <v>0</v>
      </c>
      <c r="I206" s="1696">
        <f t="shared" si="9"/>
        <v>0</v>
      </c>
      <c r="J206" s="1478"/>
      <c r="K206" s="770"/>
      <c r="L206" s="770"/>
    </row>
    <row r="207" spans="1:12" ht="28.5" customHeight="1" collapsed="1">
      <c r="A207" s="716"/>
      <c r="B207" s="1699" t="s">
        <v>514</v>
      </c>
      <c r="C207" s="1477"/>
      <c r="D207" s="1477"/>
      <c r="E207" s="1477"/>
      <c r="F207" s="1477"/>
      <c r="G207" s="1478"/>
      <c r="H207" s="899">
        <f>I17</f>
        <v>0</v>
      </c>
      <c r="I207" s="1697">
        <f>H207*I203</f>
        <v>0</v>
      </c>
      <c r="J207" s="1478"/>
      <c r="K207" s="900"/>
      <c r="L207" s="900"/>
    </row>
    <row r="208" spans="1:12" ht="8.25" customHeight="1">
      <c r="A208" s="716"/>
      <c r="B208" s="1700"/>
      <c r="C208" s="1701"/>
      <c r="D208" s="1701"/>
      <c r="E208" s="1701"/>
      <c r="F208" s="1701"/>
      <c r="G208" s="1701"/>
      <c r="H208" s="1701"/>
      <c r="I208" s="1701"/>
      <c r="J208" s="1702"/>
      <c r="K208" s="777"/>
      <c r="L208" s="777"/>
    </row>
    <row r="209" spans="1:12" ht="15.75" customHeight="1">
      <c r="A209" s="716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  <c r="L209" s="730"/>
    </row>
    <row r="210" spans="1:12" ht="8.25" customHeight="1">
      <c r="A210" s="716"/>
      <c r="B210" s="1562"/>
      <c r="C210" s="1477"/>
      <c r="D210" s="1477"/>
      <c r="E210" s="1477"/>
      <c r="F210" s="1477"/>
      <c r="G210" s="1477"/>
      <c r="H210" s="1477"/>
      <c r="I210" s="1477"/>
      <c r="J210" s="1478"/>
      <c r="K210" s="723"/>
      <c r="L210" s="723"/>
    </row>
    <row r="211" spans="1:12" ht="21" customHeight="1">
      <c r="A211" s="716"/>
      <c r="B211" s="1563" t="s">
        <v>516</v>
      </c>
      <c r="C211" s="1477"/>
      <c r="D211" s="1477"/>
      <c r="E211" s="1477"/>
      <c r="F211" s="1477"/>
      <c r="G211" s="1478"/>
      <c r="H211" s="1564">
        <f>$I$207</f>
        <v>0</v>
      </c>
      <c r="I211" s="1477"/>
      <c r="J211" s="1478"/>
      <c r="K211" s="901"/>
      <c r="L211" s="901"/>
    </row>
    <row r="212" spans="1:12" ht="8.25" customHeight="1">
      <c r="A212" s="716"/>
      <c r="B212" s="1565"/>
      <c r="C212" s="1528"/>
      <c r="D212" s="1528"/>
      <c r="E212" s="1528"/>
      <c r="F212" s="1528"/>
      <c r="G212" s="1528"/>
      <c r="H212" s="1528"/>
      <c r="I212" s="1528"/>
      <c r="J212" s="1566"/>
      <c r="K212" s="858"/>
      <c r="L212" s="858"/>
    </row>
    <row r="213" spans="1:12" ht="22.5" customHeight="1">
      <c r="A213" s="716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  <c r="L213" s="902"/>
    </row>
    <row r="214" spans="1:12" ht="8.25" customHeight="1">
      <c r="A214" s="716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  <c r="L214" s="903"/>
    </row>
    <row r="215" spans="1:12" ht="29.25" customHeight="1">
      <c r="A215" s="716"/>
      <c r="B215" s="1563" t="s">
        <v>518</v>
      </c>
      <c r="C215" s="1477"/>
      <c r="D215" s="1477"/>
      <c r="E215" s="1477"/>
      <c r="F215" s="1477"/>
      <c r="G215" s="1478"/>
      <c r="H215" s="1569">
        <f>ROUND(H211*H213,2)</f>
        <v>0</v>
      </c>
      <c r="I215" s="1477"/>
      <c r="J215" s="1478"/>
      <c r="K215" s="901"/>
      <c r="L215" s="901"/>
    </row>
    <row r="216" spans="1:12" ht="8.25" customHeight="1">
      <c r="A216" s="716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  <c r="L216" s="723"/>
    </row>
    <row r="217" spans="1:12" ht="15.75" customHeight="1">
      <c r="A217" s="716"/>
      <c r="B217" s="716"/>
      <c r="C217" s="716"/>
      <c r="D217" s="716"/>
      <c r="E217" s="716"/>
      <c r="F217" s="716"/>
      <c r="G217" s="716"/>
      <c r="H217" s="716"/>
      <c r="I217" s="716"/>
      <c r="J217" s="716"/>
      <c r="K217" s="718"/>
      <c r="L217" s="718"/>
    </row>
    <row r="218" spans="1:12" ht="21.75" hidden="1" customHeight="1" outlineLevel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904"/>
      <c r="L218" s="904"/>
    </row>
    <row r="219" spans="1:12" ht="35.25" hidden="1" customHeight="1" outlineLevel="1">
      <c r="A219" s="10"/>
      <c r="B219" s="905" t="s">
        <v>519</v>
      </c>
      <c r="C219" s="906"/>
      <c r="D219" s="906"/>
      <c r="E219" s="906"/>
      <c r="F219" s="906"/>
      <c r="G219" s="907" t="str">
        <f>B3</f>
        <v>5162_20_CUIDADOR-de-ALUNOS_40h</v>
      </c>
      <c r="H219" s="906"/>
      <c r="I219" s="906"/>
      <c r="J219" s="906"/>
      <c r="K219" s="904"/>
      <c r="L219" s="904"/>
    </row>
    <row r="220" spans="1:12" ht="15.75" hidden="1" customHeight="1" outlineLevel="1">
      <c r="A220" s="908"/>
      <c r="B220" s="1571" t="s">
        <v>352</v>
      </c>
      <c r="C220" s="1477"/>
      <c r="D220" s="1477"/>
      <c r="E220" s="1477"/>
      <c r="F220" s="1477"/>
      <c r="G220" s="1477"/>
      <c r="H220" s="1477"/>
      <c r="I220" s="1477"/>
      <c r="J220" s="1478"/>
      <c r="K220" s="900"/>
      <c r="L220" s="900"/>
    </row>
    <row r="221" spans="1:12" ht="27.75" hidden="1" customHeight="1" outlineLevel="1">
      <c r="A221" s="908"/>
      <c r="B221" s="753">
        <v>1</v>
      </c>
      <c r="C221" s="1572" t="s">
        <v>520</v>
      </c>
      <c r="D221" s="1477"/>
      <c r="E221" s="1477"/>
      <c r="F221" s="1477"/>
      <c r="G221" s="1477"/>
      <c r="H221" s="1477"/>
      <c r="I221" s="754" t="s">
        <v>354</v>
      </c>
      <c r="J221" s="753" t="s">
        <v>355</v>
      </c>
      <c r="K221" s="900"/>
      <c r="L221" s="900"/>
    </row>
    <row r="222" spans="1:12" ht="32.25" hidden="1" customHeight="1" outlineLevel="1">
      <c r="A222" s="908"/>
      <c r="B222" s="696" t="s">
        <v>360</v>
      </c>
      <c r="C222" s="1573" t="s">
        <v>521</v>
      </c>
      <c r="D222" s="1477"/>
      <c r="E222" s="1478"/>
      <c r="F222" s="763" t="s">
        <v>362</v>
      </c>
      <c r="G222" s="909">
        <v>0</v>
      </c>
      <c r="H222" s="763" t="s">
        <v>522</v>
      </c>
      <c r="I222" s="765">
        <f>I33*0.2</f>
        <v>3.0268000000000002</v>
      </c>
      <c r="J222" s="766">
        <f t="shared" ref="J222:J224" si="10">G222*I222</f>
        <v>0</v>
      </c>
      <c r="K222" s="910"/>
      <c r="L222" s="910"/>
    </row>
    <row r="223" spans="1:12" ht="31.5" hidden="1" customHeight="1" outlineLevel="1">
      <c r="A223" s="908"/>
      <c r="B223" s="696" t="s">
        <v>368</v>
      </c>
      <c r="C223" s="1574" t="s">
        <v>523</v>
      </c>
      <c r="D223" s="1575"/>
      <c r="E223" s="1575"/>
      <c r="F223" s="763" t="s">
        <v>370</v>
      </c>
      <c r="G223" s="909">
        <v>0</v>
      </c>
      <c r="H223" s="763" t="s">
        <v>524</v>
      </c>
      <c r="I223" s="765">
        <f>I33*1.5</f>
        <v>22.701000000000001</v>
      </c>
      <c r="J223" s="766">
        <f t="shared" si="10"/>
        <v>0</v>
      </c>
      <c r="K223" s="910"/>
      <c r="L223" s="910"/>
    </row>
    <row r="224" spans="1:12" ht="33" hidden="1" customHeight="1" outlineLevel="1">
      <c r="A224" s="908"/>
      <c r="B224" s="696" t="s">
        <v>372</v>
      </c>
      <c r="C224" s="1574" t="s">
        <v>525</v>
      </c>
      <c r="D224" s="1575"/>
      <c r="E224" s="1575"/>
      <c r="F224" s="763" t="s">
        <v>374</v>
      </c>
      <c r="G224" s="909">
        <v>0</v>
      </c>
      <c r="H224" s="763" t="s">
        <v>526</v>
      </c>
      <c r="I224" s="765">
        <f>I33*2</f>
        <v>30.268000000000001</v>
      </c>
      <c r="J224" s="767">
        <f t="shared" si="10"/>
        <v>0</v>
      </c>
      <c r="K224" s="910"/>
      <c r="L224" s="910"/>
    </row>
    <row r="225" spans="1:12" ht="30" hidden="1" customHeight="1" outlineLevel="1">
      <c r="A225" s="908"/>
      <c r="B225" s="696" t="s">
        <v>376</v>
      </c>
      <c r="C225" s="1576" t="s">
        <v>527</v>
      </c>
      <c r="D225" s="1419"/>
      <c r="E225" s="1419"/>
      <c r="F225" s="763" t="s">
        <v>378</v>
      </c>
      <c r="G225" s="768">
        <f>SUM(G222:G224)*0.2</f>
        <v>0</v>
      </c>
      <c r="H225" s="763"/>
      <c r="I225" s="765"/>
      <c r="J225" s="767">
        <f>ROUND(SUM(J222:J224)*0.2,2)</f>
        <v>0</v>
      </c>
      <c r="K225" s="910"/>
      <c r="L225" s="910"/>
    </row>
    <row r="226" spans="1:12" ht="15.75" hidden="1" customHeight="1" outlineLevel="1">
      <c r="A226" s="908"/>
      <c r="B226" s="696" t="s">
        <v>379</v>
      </c>
      <c r="C226" s="1577" t="s">
        <v>380</v>
      </c>
      <c r="D226" s="1477"/>
      <c r="E226" s="1477"/>
      <c r="F226" s="1477"/>
      <c r="G226" s="1477"/>
      <c r="H226" s="1477"/>
      <c r="I226" s="1478"/>
      <c r="J226" s="769" t="s">
        <v>325</v>
      </c>
      <c r="K226" s="900"/>
      <c r="L226" s="900"/>
    </row>
    <row r="227" spans="1:12" ht="45" hidden="1" customHeight="1" outlineLevel="1">
      <c r="A227" s="908"/>
      <c r="B227" s="1578" t="s">
        <v>528</v>
      </c>
      <c r="C227" s="1477"/>
      <c r="D227" s="1477"/>
      <c r="E227" s="1477"/>
      <c r="F227" s="1477"/>
      <c r="G227" s="1477"/>
      <c r="H227" s="1477"/>
      <c r="I227" s="1478"/>
      <c r="J227" s="775">
        <f>SUM(J222:J226)</f>
        <v>0</v>
      </c>
      <c r="K227" s="900"/>
      <c r="L227" s="900"/>
    </row>
    <row r="228" spans="1:12" ht="15.75" hidden="1" customHeight="1" outlineLevel="1">
      <c r="A228" s="908"/>
      <c r="B228" s="908"/>
      <c r="C228" s="908"/>
      <c r="D228" s="908"/>
      <c r="E228" s="908"/>
      <c r="F228" s="908"/>
      <c r="G228" s="908"/>
      <c r="H228" s="908"/>
      <c r="I228" s="908"/>
      <c r="J228" s="908"/>
      <c r="K228" s="900"/>
      <c r="L228" s="900"/>
    </row>
    <row r="229" spans="1:12" ht="15.75" hidden="1" customHeight="1" outlineLevel="1">
      <c r="A229" s="908"/>
      <c r="B229" s="1579" t="s">
        <v>386</v>
      </c>
      <c r="C229" s="1477"/>
      <c r="D229" s="1477"/>
      <c r="E229" s="1477"/>
      <c r="F229" s="1477"/>
      <c r="G229" s="1477"/>
      <c r="H229" s="1477"/>
      <c r="I229" s="1477"/>
      <c r="J229" s="1478"/>
      <c r="K229" s="900"/>
      <c r="L229" s="900"/>
    </row>
    <row r="230" spans="1:12" ht="31.5" hidden="1" customHeight="1" outlineLevel="1">
      <c r="A230" s="908"/>
      <c r="B230" s="1580" t="s">
        <v>529</v>
      </c>
      <c r="C230" s="1477"/>
      <c r="D230" s="1477"/>
      <c r="E230" s="1477"/>
      <c r="F230" s="1477"/>
      <c r="G230" s="1477"/>
      <c r="H230" s="1477"/>
      <c r="I230" s="1477"/>
      <c r="J230" s="1478"/>
      <c r="K230" s="900"/>
      <c r="L230" s="900"/>
    </row>
    <row r="231" spans="1:12" ht="15.75" hidden="1" customHeight="1" outlineLevel="1">
      <c r="A231" s="908"/>
      <c r="B231" s="911">
        <v>45659</v>
      </c>
      <c r="C231" s="1581" t="s">
        <v>530</v>
      </c>
      <c r="D231" s="1477"/>
      <c r="E231" s="1477"/>
      <c r="F231" s="1477"/>
      <c r="G231" s="1477"/>
      <c r="H231" s="1477"/>
      <c r="I231" s="1478"/>
      <c r="J231" s="912" t="s">
        <v>390</v>
      </c>
      <c r="K231" s="900"/>
      <c r="L231" s="900"/>
    </row>
    <row r="232" spans="1:12" ht="24.75" hidden="1" customHeight="1" outlineLevel="1">
      <c r="A232" s="908"/>
      <c r="B232" s="912" t="s">
        <v>312</v>
      </c>
      <c r="C232" s="1553" t="s">
        <v>531</v>
      </c>
      <c r="D232" s="1477"/>
      <c r="E232" s="1477"/>
      <c r="F232" s="1477"/>
      <c r="G232" s="1477"/>
      <c r="H232" s="1478"/>
      <c r="I232" s="913">
        <f t="shared" ref="I232:I233" si="11">I70</f>
        <v>8.3299999999999999E-2</v>
      </c>
      <c r="J232" s="766">
        <f>J227*I232</f>
        <v>0</v>
      </c>
      <c r="K232" s="900"/>
      <c r="L232" s="900"/>
    </row>
    <row r="233" spans="1:12" ht="69" hidden="1" customHeight="1" outlineLevel="1">
      <c r="A233" s="908"/>
      <c r="B233" s="912" t="s">
        <v>314</v>
      </c>
      <c r="C233" s="1582" t="s">
        <v>532</v>
      </c>
      <c r="D233" s="1477"/>
      <c r="E233" s="1477"/>
      <c r="F233" s="1477"/>
      <c r="G233" s="1477"/>
      <c r="H233" s="1478"/>
      <c r="I233" s="913">
        <f t="shared" si="11"/>
        <v>3.0249999999999999E-2</v>
      </c>
      <c r="J233" s="766">
        <f>J227*I233</f>
        <v>0</v>
      </c>
      <c r="K233" s="900"/>
      <c r="L233" s="900"/>
    </row>
    <row r="234" spans="1:12" ht="15.75" hidden="1" customHeight="1" outlineLevel="1">
      <c r="A234" s="908"/>
      <c r="B234" s="1583" t="s">
        <v>393</v>
      </c>
      <c r="C234" s="1477"/>
      <c r="D234" s="1477"/>
      <c r="E234" s="1477"/>
      <c r="F234" s="1477"/>
      <c r="G234" s="1477"/>
      <c r="H234" s="1477"/>
      <c r="I234" s="1478"/>
      <c r="J234" s="775">
        <f>SUM(J232:J233)</f>
        <v>0</v>
      </c>
      <c r="K234" s="900"/>
      <c r="L234" s="900"/>
    </row>
    <row r="235" spans="1:12" ht="15.75" hidden="1" customHeight="1" outlineLevel="1">
      <c r="A235" s="908"/>
      <c r="B235" s="908"/>
      <c r="C235" s="908"/>
      <c r="D235" s="908"/>
      <c r="E235" s="908"/>
      <c r="F235" s="908"/>
      <c r="G235" s="908"/>
      <c r="H235" s="908"/>
      <c r="I235" s="908"/>
      <c r="J235" s="908"/>
      <c r="K235" s="900"/>
      <c r="L235" s="900"/>
    </row>
    <row r="236" spans="1:12" ht="37.5" hidden="1" customHeight="1" outlineLevel="1">
      <c r="A236" s="908"/>
      <c r="B236" s="791" t="s">
        <v>396</v>
      </c>
      <c r="C236" s="1584" t="s">
        <v>533</v>
      </c>
      <c r="D236" s="1477"/>
      <c r="E236" s="1477"/>
      <c r="F236" s="1477"/>
      <c r="G236" s="1477"/>
      <c r="H236" s="1478"/>
      <c r="I236" s="792" t="s">
        <v>354</v>
      </c>
      <c r="J236" s="793" t="s">
        <v>398</v>
      </c>
      <c r="K236" s="900"/>
      <c r="L236" s="900"/>
    </row>
    <row r="237" spans="1:12" ht="15.75" hidden="1" customHeight="1" outlineLevel="1">
      <c r="A237" s="908"/>
      <c r="B237" s="794" t="s">
        <v>312</v>
      </c>
      <c r="C237" s="1577" t="s">
        <v>399</v>
      </c>
      <c r="D237" s="1477"/>
      <c r="E237" s="1477"/>
      <c r="F237" s="1477"/>
      <c r="G237" s="1477"/>
      <c r="H237" s="1478"/>
      <c r="I237" s="795">
        <f t="shared" ref="I237:I238" si="12">I78</f>
        <v>0.2</v>
      </c>
      <c r="J237" s="796">
        <f>ROUND((J227+J234)*I237,2)</f>
        <v>0</v>
      </c>
      <c r="K237" s="900"/>
      <c r="L237" s="900"/>
    </row>
    <row r="238" spans="1:12" ht="15.75" hidden="1" customHeight="1" outlineLevel="1">
      <c r="A238" s="908"/>
      <c r="B238" s="794" t="s">
        <v>314</v>
      </c>
      <c r="C238" s="1577" t="s">
        <v>400</v>
      </c>
      <c r="D238" s="1477"/>
      <c r="E238" s="1477"/>
      <c r="F238" s="1477"/>
      <c r="G238" s="1477"/>
      <c r="H238" s="1478"/>
      <c r="I238" s="795">
        <f t="shared" si="12"/>
        <v>2.5000000000000001E-2</v>
      </c>
      <c r="J238" s="796">
        <f>ROUND((J227+J234)*I238,2)</f>
        <v>0</v>
      </c>
      <c r="K238" s="900"/>
      <c r="L238" s="900"/>
    </row>
    <row r="239" spans="1:12" ht="15.75" hidden="1" customHeight="1" outlineLevel="1">
      <c r="A239" s="908"/>
      <c r="B239" s="794" t="s">
        <v>316</v>
      </c>
      <c r="C239" s="1577" t="s">
        <v>534</v>
      </c>
      <c r="D239" s="1478"/>
      <c r="E239" s="735" t="s">
        <v>402</v>
      </c>
      <c r="F239" s="797">
        <f>F80</f>
        <v>0.03</v>
      </c>
      <c r="G239" s="735" t="s">
        <v>403</v>
      </c>
      <c r="H239" s="798">
        <f t="shared" ref="H239:I239" si="13">H80</f>
        <v>1</v>
      </c>
      <c r="I239" s="795">
        <f t="shared" si="13"/>
        <v>0.03</v>
      </c>
      <c r="J239" s="796">
        <f>ROUND((J227+J234)*I239,2)</f>
        <v>0</v>
      </c>
      <c r="K239" s="900"/>
      <c r="L239" s="900"/>
    </row>
    <row r="240" spans="1:12" ht="15.75" hidden="1" customHeight="1" outlineLevel="1">
      <c r="A240" s="908"/>
      <c r="B240" s="794" t="s">
        <v>318</v>
      </c>
      <c r="C240" s="1577" t="s">
        <v>404</v>
      </c>
      <c r="D240" s="1477"/>
      <c r="E240" s="1477"/>
      <c r="F240" s="1477"/>
      <c r="G240" s="1477"/>
      <c r="H240" s="1478"/>
      <c r="I240" s="795">
        <f t="shared" ref="I240:I244" si="14">I81</f>
        <v>1.4999999999999999E-2</v>
      </c>
      <c r="J240" s="796">
        <f>ROUND((J227+J234)*I240,2)</f>
        <v>0</v>
      </c>
      <c r="K240" s="900"/>
      <c r="L240" s="900"/>
    </row>
    <row r="241" spans="1:12" ht="15.75" hidden="1" customHeight="1" outlineLevel="1">
      <c r="A241" s="908"/>
      <c r="B241" s="794" t="s">
        <v>360</v>
      </c>
      <c r="C241" s="1577" t="s">
        <v>405</v>
      </c>
      <c r="D241" s="1477"/>
      <c r="E241" s="1477"/>
      <c r="F241" s="1477"/>
      <c r="G241" s="1477"/>
      <c r="H241" s="1478"/>
      <c r="I241" s="795">
        <f t="shared" si="14"/>
        <v>0.01</v>
      </c>
      <c r="J241" s="796">
        <f>ROUND((J227+J234)*I241,2)</f>
        <v>0</v>
      </c>
      <c r="K241" s="900"/>
      <c r="L241" s="900"/>
    </row>
    <row r="242" spans="1:12" ht="15.75" hidden="1" customHeight="1" outlineLevel="1">
      <c r="A242" s="908"/>
      <c r="B242" s="794" t="s">
        <v>364</v>
      </c>
      <c r="C242" s="1577" t="s">
        <v>406</v>
      </c>
      <c r="D242" s="1477"/>
      <c r="E242" s="1477"/>
      <c r="F242" s="1477"/>
      <c r="G242" s="1477"/>
      <c r="H242" s="1478"/>
      <c r="I242" s="795">
        <f t="shared" si="14"/>
        <v>6.0000000000000001E-3</v>
      </c>
      <c r="J242" s="796">
        <f>ROUND((J227+J234)*I242,2)</f>
        <v>0</v>
      </c>
      <c r="K242" s="900"/>
      <c r="L242" s="900"/>
    </row>
    <row r="243" spans="1:12" ht="15.75" hidden="1" customHeight="1" outlineLevel="1">
      <c r="A243" s="908"/>
      <c r="B243" s="794" t="s">
        <v>366</v>
      </c>
      <c r="C243" s="1577" t="s">
        <v>407</v>
      </c>
      <c r="D243" s="1477"/>
      <c r="E243" s="1477"/>
      <c r="F243" s="1477"/>
      <c r="G243" s="1477"/>
      <c r="H243" s="1478"/>
      <c r="I243" s="795">
        <f t="shared" si="14"/>
        <v>2E-3</v>
      </c>
      <c r="J243" s="796">
        <f>ROUND((J227+J234)*I243,2)</f>
        <v>0</v>
      </c>
      <c r="K243" s="900"/>
      <c r="L243" s="900"/>
    </row>
    <row r="244" spans="1:12" ht="15.75" hidden="1" customHeight="1" outlineLevel="1">
      <c r="A244" s="908"/>
      <c r="B244" s="794" t="s">
        <v>368</v>
      </c>
      <c r="C244" s="1577" t="s">
        <v>408</v>
      </c>
      <c r="D244" s="1477"/>
      <c r="E244" s="1477"/>
      <c r="F244" s="1477"/>
      <c r="G244" s="1477"/>
      <c r="H244" s="1478"/>
      <c r="I244" s="795">
        <f t="shared" si="14"/>
        <v>0.08</v>
      </c>
      <c r="J244" s="796">
        <f>ROUND((J227+J234)*I244,2)</f>
        <v>0</v>
      </c>
      <c r="K244" s="900"/>
      <c r="L244" s="900"/>
    </row>
    <row r="245" spans="1:12" ht="15.75" hidden="1" customHeight="1" outlineLevel="1">
      <c r="A245" s="908"/>
      <c r="B245" s="1585" t="s">
        <v>393</v>
      </c>
      <c r="C245" s="1477"/>
      <c r="D245" s="1477"/>
      <c r="E245" s="1477"/>
      <c r="F245" s="1477"/>
      <c r="G245" s="1477"/>
      <c r="H245" s="1478"/>
      <c r="I245" s="800">
        <f t="shared" ref="I245:J245" si="15">SUM(I237:I244)</f>
        <v>0.36800000000000005</v>
      </c>
      <c r="J245" s="775">
        <f t="shared" si="15"/>
        <v>0</v>
      </c>
      <c r="K245" s="900"/>
      <c r="L245" s="900"/>
    </row>
    <row r="246" spans="1:12" ht="15.75" hidden="1" customHeight="1" outlineLevel="1">
      <c r="A246" s="908"/>
      <c r="B246" s="908"/>
      <c r="C246" s="908"/>
      <c r="D246" s="908"/>
      <c r="E246" s="908"/>
      <c r="F246" s="908"/>
      <c r="G246" s="908"/>
      <c r="H246" s="908"/>
      <c r="I246" s="908"/>
      <c r="J246" s="908"/>
      <c r="K246" s="900"/>
      <c r="L246" s="900"/>
    </row>
    <row r="247" spans="1:12" ht="15.75" hidden="1" customHeight="1" outlineLevel="1">
      <c r="A247" s="908"/>
      <c r="B247" s="1579" t="s">
        <v>535</v>
      </c>
      <c r="C247" s="1477"/>
      <c r="D247" s="1477"/>
      <c r="E247" s="1477"/>
      <c r="F247" s="1477"/>
      <c r="G247" s="1477"/>
      <c r="H247" s="1477"/>
      <c r="I247" s="1477"/>
      <c r="J247" s="1478"/>
      <c r="K247" s="900"/>
      <c r="L247" s="900"/>
    </row>
    <row r="248" spans="1:12" ht="15.75" hidden="1" customHeight="1" outlineLevel="1">
      <c r="A248" s="908"/>
      <c r="B248" s="914">
        <v>3</v>
      </c>
      <c r="C248" s="1586" t="s">
        <v>435</v>
      </c>
      <c r="D248" s="1477"/>
      <c r="E248" s="1477"/>
      <c r="F248" s="1477"/>
      <c r="G248" s="1477"/>
      <c r="H248" s="1477"/>
      <c r="I248" s="1478"/>
      <c r="J248" s="914" t="s">
        <v>390</v>
      </c>
      <c r="K248" s="900"/>
      <c r="L248" s="900"/>
    </row>
    <row r="249" spans="1:12" ht="15.75" hidden="1" customHeight="1" outlineLevel="1">
      <c r="A249" s="908"/>
      <c r="B249" s="915" t="s">
        <v>312</v>
      </c>
      <c r="C249" s="1587" t="s">
        <v>536</v>
      </c>
      <c r="D249" s="1477"/>
      <c r="E249" s="1477"/>
      <c r="F249" s="1477"/>
      <c r="G249" s="1477"/>
      <c r="H249" s="1477"/>
      <c r="I249" s="1478"/>
      <c r="J249" s="796">
        <f>ROUND((J227/12)+(J234/12),0)*1*0.05</f>
        <v>0</v>
      </c>
      <c r="K249" s="900"/>
      <c r="L249" s="900"/>
    </row>
    <row r="250" spans="1:12" ht="15.75" hidden="1" customHeight="1" outlineLevel="1">
      <c r="A250" s="908"/>
      <c r="B250" s="915" t="s">
        <v>314</v>
      </c>
      <c r="C250" s="1587" t="s">
        <v>437</v>
      </c>
      <c r="D250" s="1477"/>
      <c r="E250" s="1477"/>
      <c r="F250" s="1477"/>
      <c r="G250" s="1477"/>
      <c r="H250" s="1477"/>
      <c r="I250" s="1478"/>
      <c r="J250" s="796">
        <f>(J249*I244)</f>
        <v>0</v>
      </c>
      <c r="K250" s="900"/>
      <c r="L250" s="900"/>
    </row>
    <row r="251" spans="1:12" ht="77.25" hidden="1" customHeight="1" outlineLevel="1">
      <c r="A251" s="908"/>
      <c r="B251" s="915" t="s">
        <v>316</v>
      </c>
      <c r="C251" s="1588" t="s">
        <v>537</v>
      </c>
      <c r="D251" s="1477"/>
      <c r="E251" s="1477"/>
      <c r="F251" s="1477"/>
      <c r="G251" s="1477"/>
      <c r="H251" s="1477"/>
      <c r="I251" s="916" t="s">
        <v>128</v>
      </c>
      <c r="J251" s="796">
        <f>ROUND(((7/30)/$I$11)*$J$227*1,2)</f>
        <v>0</v>
      </c>
      <c r="K251" s="900"/>
      <c r="L251" s="900"/>
    </row>
    <row r="252" spans="1:12" ht="15.75" hidden="1" customHeight="1" outlineLevel="1">
      <c r="A252" s="908"/>
      <c r="B252" s="915" t="s">
        <v>318</v>
      </c>
      <c r="C252" s="1587" t="s">
        <v>439</v>
      </c>
      <c r="D252" s="1477"/>
      <c r="E252" s="1477"/>
      <c r="F252" s="1477"/>
      <c r="G252" s="1477"/>
      <c r="H252" s="1477"/>
      <c r="I252" s="1478"/>
      <c r="J252" s="796">
        <f>I245*J251</f>
        <v>0</v>
      </c>
      <c r="K252" s="900"/>
      <c r="L252" s="900"/>
    </row>
    <row r="253" spans="1:12" ht="15.75" hidden="1" customHeight="1" outlineLevel="1">
      <c r="A253" s="908"/>
      <c r="B253" s="915" t="s">
        <v>360</v>
      </c>
      <c r="C253" s="1587" t="s">
        <v>538</v>
      </c>
      <c r="D253" s="1477"/>
      <c r="E253" s="1477"/>
      <c r="F253" s="1477"/>
      <c r="G253" s="1477"/>
      <c r="H253" s="1478"/>
      <c r="I253" s="917">
        <f>I123</f>
        <v>0.04</v>
      </c>
      <c r="J253" s="796">
        <f>I253*J227</f>
        <v>0</v>
      </c>
      <c r="K253" s="900"/>
      <c r="L253" s="900"/>
    </row>
    <row r="254" spans="1:12" ht="15.75" hidden="1" customHeight="1" outlineLevel="1">
      <c r="A254" s="908"/>
      <c r="B254" s="1583" t="s">
        <v>441</v>
      </c>
      <c r="C254" s="1477"/>
      <c r="D254" s="1477"/>
      <c r="E254" s="1477"/>
      <c r="F254" s="1477"/>
      <c r="G254" s="1477"/>
      <c r="H254" s="1477"/>
      <c r="I254" s="1478"/>
      <c r="J254" s="775">
        <f>SUM(J249:J253)</f>
        <v>0</v>
      </c>
      <c r="K254" s="900"/>
      <c r="L254" s="900"/>
    </row>
    <row r="255" spans="1:12" ht="15.75" hidden="1" customHeight="1" outlineLevel="1">
      <c r="A255" s="908"/>
      <c r="B255" s="908"/>
      <c r="C255" s="908"/>
      <c r="D255" s="908"/>
      <c r="E255" s="908"/>
      <c r="F255" s="908"/>
      <c r="G255" s="908"/>
      <c r="H255" s="908"/>
      <c r="I255" s="908"/>
      <c r="J255" s="908"/>
      <c r="K255" s="900"/>
      <c r="L255" s="900"/>
    </row>
    <row r="256" spans="1:12" ht="24.75" hidden="1" customHeight="1" outlineLevel="1">
      <c r="A256" s="908"/>
      <c r="B256" s="1553" t="s">
        <v>539</v>
      </c>
      <c r="C256" s="1477"/>
      <c r="D256" s="1477"/>
      <c r="E256" s="1477"/>
      <c r="F256" s="1477"/>
      <c r="G256" s="1477"/>
      <c r="H256" s="1477"/>
      <c r="I256" s="1477"/>
      <c r="J256" s="1478"/>
      <c r="K256" s="900"/>
      <c r="L256" s="900"/>
    </row>
    <row r="257" spans="1:12" ht="45" hidden="1" customHeight="1" outlineLevel="1">
      <c r="A257" s="908"/>
      <c r="B257" s="832" t="s">
        <v>540</v>
      </c>
      <c r="C257" s="833">
        <f>J227</f>
        <v>0</v>
      </c>
      <c r="D257" s="918" t="s">
        <v>446</v>
      </c>
      <c r="E257" s="832" t="s">
        <v>541</v>
      </c>
      <c r="F257" s="833">
        <f>J234+J245</f>
        <v>0</v>
      </c>
      <c r="G257" s="918" t="s">
        <v>446</v>
      </c>
      <c r="H257" s="832" t="s">
        <v>448</v>
      </c>
      <c r="I257" s="833">
        <f>J254</f>
        <v>0</v>
      </c>
      <c r="J257" s="835">
        <f>C257+F257+I257</f>
        <v>0</v>
      </c>
      <c r="K257" s="900"/>
      <c r="L257" s="900"/>
    </row>
    <row r="258" spans="1:12" ht="15.75" hidden="1" customHeight="1" outlineLevel="1">
      <c r="A258" s="908"/>
      <c r="B258" s="908"/>
      <c r="C258" s="908"/>
      <c r="D258" s="908"/>
      <c r="E258" s="908"/>
      <c r="F258" s="908"/>
      <c r="G258" s="908"/>
      <c r="H258" s="908"/>
      <c r="I258" s="908"/>
      <c r="J258" s="908"/>
      <c r="K258" s="900"/>
      <c r="L258" s="900"/>
    </row>
    <row r="259" spans="1:12" ht="15.75" hidden="1" customHeight="1" outlineLevel="1">
      <c r="A259" s="908"/>
      <c r="B259" s="1554" t="s">
        <v>449</v>
      </c>
      <c r="C259" s="1477"/>
      <c r="D259" s="1477"/>
      <c r="E259" s="1477"/>
      <c r="F259" s="1477"/>
      <c r="G259" s="1477"/>
      <c r="H259" s="1477"/>
      <c r="I259" s="1477"/>
      <c r="J259" s="1478"/>
      <c r="K259" s="900"/>
      <c r="L259" s="900"/>
    </row>
    <row r="260" spans="1:12" ht="15.75" hidden="1" customHeight="1" outlineLevel="1">
      <c r="A260" s="908"/>
      <c r="B260" s="805" t="s">
        <v>450</v>
      </c>
      <c r="C260" s="1555" t="s">
        <v>542</v>
      </c>
      <c r="D260" s="1477"/>
      <c r="E260" s="1477"/>
      <c r="F260" s="1477"/>
      <c r="G260" s="1477"/>
      <c r="H260" s="1477"/>
      <c r="I260" s="1478"/>
      <c r="J260" s="839" t="s">
        <v>390</v>
      </c>
      <c r="K260" s="900"/>
      <c r="L260" s="900"/>
    </row>
    <row r="261" spans="1:12" ht="45" hidden="1" customHeight="1" outlineLevel="1">
      <c r="A261" s="908"/>
      <c r="B261" s="919" t="s">
        <v>312</v>
      </c>
      <c r="C261" s="1556" t="s">
        <v>543</v>
      </c>
      <c r="D261" s="1477"/>
      <c r="E261" s="1477"/>
      <c r="F261" s="1477"/>
      <c r="G261" s="1477"/>
      <c r="H261" s="840">
        <f t="shared" ref="H261:I261" si="16">H133</f>
        <v>9.0749999999999997E-2</v>
      </c>
      <c r="I261" s="920">
        <f t="shared" si="16"/>
        <v>0.36800000000000005</v>
      </c>
      <c r="J261" s="921">
        <f>IF('1-ABA-DE-CARREGAMENTO'!C81="S",(ROUND(H261*J227,2)*(1+I261)),IF('1-ABA-DE-CARREGAMENTO'!C81="N",0,"INFORME S ou N"))</f>
        <v>0</v>
      </c>
      <c r="K261" s="900"/>
      <c r="L261" s="900"/>
    </row>
    <row r="262" spans="1:12" ht="28.5" hidden="1" customHeight="1" outlineLevel="1">
      <c r="A262" s="908"/>
      <c r="B262" s="919" t="s">
        <v>314</v>
      </c>
      <c r="C262" s="1556" t="s">
        <v>544</v>
      </c>
      <c r="D262" s="1477"/>
      <c r="E262" s="1477"/>
      <c r="F262" s="1477"/>
      <c r="G262" s="1477"/>
      <c r="H262" s="1477"/>
      <c r="I262" s="1478"/>
      <c r="J262" s="922">
        <f>ROUND((1/30)/12*(J257),2)</f>
        <v>0</v>
      </c>
      <c r="K262" s="900"/>
      <c r="L262" s="900"/>
    </row>
    <row r="263" spans="1:12" ht="28.5" hidden="1" customHeight="1" outlineLevel="1">
      <c r="A263" s="908"/>
      <c r="B263" s="919" t="s">
        <v>316</v>
      </c>
      <c r="C263" s="1556" t="s">
        <v>545</v>
      </c>
      <c r="D263" s="1477"/>
      <c r="E263" s="1477"/>
      <c r="F263" s="1477"/>
      <c r="G263" s="1477"/>
      <c r="H263" s="1477"/>
      <c r="I263" s="1478"/>
      <c r="J263" s="923">
        <f>ROUND((5/30)/12*0.015*(J257),2)</f>
        <v>0</v>
      </c>
      <c r="K263" s="900"/>
      <c r="L263" s="900"/>
    </row>
    <row r="264" spans="1:12" ht="28.5" hidden="1" customHeight="1" outlineLevel="1">
      <c r="A264" s="908"/>
      <c r="B264" s="919" t="s">
        <v>318</v>
      </c>
      <c r="C264" s="1556" t="s">
        <v>546</v>
      </c>
      <c r="D264" s="1477"/>
      <c r="E264" s="1477"/>
      <c r="F264" s="1477"/>
      <c r="G264" s="1477"/>
      <c r="H264" s="1477"/>
      <c r="I264" s="1478"/>
      <c r="J264" s="923">
        <f>ROUND(((15/30)/12)*0.0078*(J257),2)</f>
        <v>0</v>
      </c>
      <c r="K264" s="900"/>
      <c r="L264" s="900"/>
    </row>
    <row r="265" spans="1:12" ht="28.5" hidden="1" customHeight="1" outlineLevel="1">
      <c r="A265" s="908"/>
      <c r="B265" s="924" t="s">
        <v>360</v>
      </c>
      <c r="C265" s="1557" t="s">
        <v>547</v>
      </c>
      <c r="D265" s="1477"/>
      <c r="E265" s="1477"/>
      <c r="F265" s="1477"/>
      <c r="G265" s="1477"/>
      <c r="H265" s="1477"/>
      <c r="I265" s="1478"/>
      <c r="J265" s="925">
        <f>ROUND((((C257+C257/3)+(I245)*(C257+C257/3))*(4/12))/12,0)*0.02+((J254*4)/12)*0.02</f>
        <v>0</v>
      </c>
      <c r="K265" s="900"/>
      <c r="L265" s="900"/>
    </row>
    <row r="266" spans="1:12" ht="70.5" hidden="1" customHeight="1" outlineLevel="1">
      <c r="A266" s="908"/>
      <c r="B266" s="919" t="s">
        <v>364</v>
      </c>
      <c r="C266" s="1556" t="s">
        <v>548</v>
      </c>
      <c r="D266" s="1477"/>
      <c r="E266" s="1477"/>
      <c r="F266" s="1477"/>
      <c r="G266" s="1477"/>
      <c r="H266" s="1477"/>
      <c r="I266" s="1478"/>
      <c r="J266" s="926">
        <f>ROUND(((3/30)/12)*(J257),2)</f>
        <v>0</v>
      </c>
      <c r="K266" s="900"/>
      <c r="L266" s="900"/>
    </row>
    <row r="267" spans="1:12" ht="15.75" hidden="1" customHeight="1" outlineLevel="1">
      <c r="A267" s="908"/>
      <c r="B267" s="1558" t="s">
        <v>393</v>
      </c>
      <c r="C267" s="1477"/>
      <c r="D267" s="1477"/>
      <c r="E267" s="1477"/>
      <c r="F267" s="1477"/>
      <c r="G267" s="1477"/>
      <c r="H267" s="1477"/>
      <c r="I267" s="1478"/>
      <c r="J267" s="927">
        <f>SUM(J261:J266)</f>
        <v>0</v>
      </c>
      <c r="K267" s="900"/>
      <c r="L267" s="900"/>
    </row>
    <row r="268" spans="1:12" ht="15.75" hidden="1" customHeight="1" outlineLevel="1">
      <c r="A268" s="908"/>
      <c r="B268" s="908"/>
      <c r="C268" s="908"/>
      <c r="D268" s="908"/>
      <c r="E268" s="908"/>
      <c r="F268" s="908"/>
      <c r="G268" s="908"/>
      <c r="H268" s="908"/>
      <c r="I268" s="908"/>
      <c r="J268" s="908"/>
      <c r="K268" s="900"/>
      <c r="L268" s="900"/>
    </row>
    <row r="269" spans="1:12" ht="15.75" hidden="1" customHeight="1" outlineLevel="1">
      <c r="A269" s="908"/>
      <c r="B269" s="1559" t="s">
        <v>471</v>
      </c>
      <c r="C269" s="1477"/>
      <c r="D269" s="1477"/>
      <c r="E269" s="1477"/>
      <c r="F269" s="1477"/>
      <c r="G269" s="1477"/>
      <c r="H269" s="1477"/>
      <c r="I269" s="1477"/>
      <c r="J269" s="1478"/>
      <c r="K269" s="900"/>
      <c r="L269" s="900"/>
    </row>
    <row r="270" spans="1:12" ht="22.5" hidden="1" customHeight="1" outlineLevel="1">
      <c r="A270" s="908"/>
      <c r="B270" s="805">
        <v>6</v>
      </c>
      <c r="C270" s="1555" t="s">
        <v>549</v>
      </c>
      <c r="D270" s="1477"/>
      <c r="E270" s="1477"/>
      <c r="F270" s="1477"/>
      <c r="G270" s="1477"/>
      <c r="H270" s="1478"/>
      <c r="I270" s="863" t="s">
        <v>354</v>
      </c>
      <c r="J270" s="864" t="s">
        <v>398</v>
      </c>
      <c r="K270" s="900"/>
      <c r="L270" s="900"/>
    </row>
    <row r="271" spans="1:12" ht="55.5" hidden="1" customHeight="1" outlineLevel="1">
      <c r="A271" s="908"/>
      <c r="B271" s="1560" t="s">
        <v>473</v>
      </c>
      <c r="C271" s="1477"/>
      <c r="D271" s="1477"/>
      <c r="E271" s="1477"/>
      <c r="F271" s="1477"/>
      <c r="G271" s="1477"/>
      <c r="H271" s="1478"/>
      <c r="I271" s="434" t="str">
        <f t="shared" ref="I271:I284" si="17">I163</f>
        <v>-</v>
      </c>
      <c r="J271" s="866">
        <f>J227+J234+J245+J254+J267</f>
        <v>0</v>
      </c>
      <c r="K271" s="900"/>
      <c r="L271" s="900"/>
    </row>
    <row r="272" spans="1:12" ht="15.75" hidden="1" customHeight="1" outlineLevel="1">
      <c r="A272" s="908"/>
      <c r="B272" s="743" t="s">
        <v>312</v>
      </c>
      <c r="C272" s="1561" t="s">
        <v>474</v>
      </c>
      <c r="D272" s="1477"/>
      <c r="E272" s="1477"/>
      <c r="F272" s="1477"/>
      <c r="G272" s="1477"/>
      <c r="H272" s="1478"/>
      <c r="I272" s="868">
        <f t="shared" si="17"/>
        <v>0.06</v>
      </c>
      <c r="J272" s="796">
        <f>ROUND(I272*J271,2)</f>
        <v>0</v>
      </c>
      <c r="K272" s="900"/>
      <c r="L272" s="900"/>
    </row>
    <row r="273" spans="1:12" ht="55.5" hidden="1" customHeight="1" outlineLevel="1">
      <c r="A273" s="908"/>
      <c r="B273" s="1560" t="s">
        <v>475</v>
      </c>
      <c r="C273" s="1477"/>
      <c r="D273" s="1477"/>
      <c r="E273" s="1477"/>
      <c r="F273" s="1477"/>
      <c r="G273" s="1477"/>
      <c r="H273" s="1478"/>
      <c r="I273" s="868" t="str">
        <f t="shared" si="17"/>
        <v>-</v>
      </c>
      <c r="J273" s="866">
        <f>J227+J234+J245+J254+J267+J272</f>
        <v>0</v>
      </c>
      <c r="K273" s="900"/>
      <c r="L273" s="900"/>
    </row>
    <row r="274" spans="1:12" ht="15.75" hidden="1" customHeight="1" outlineLevel="1">
      <c r="A274" s="908"/>
      <c r="B274" s="743" t="s">
        <v>314</v>
      </c>
      <c r="C274" s="1561" t="s">
        <v>251</v>
      </c>
      <c r="D274" s="1477"/>
      <c r="E274" s="1477"/>
      <c r="F274" s="1477"/>
      <c r="G274" s="1477"/>
      <c r="H274" s="1478"/>
      <c r="I274" s="868">
        <f t="shared" si="17"/>
        <v>0.06</v>
      </c>
      <c r="J274" s="796">
        <f>ROUND(I274*J273,2)</f>
        <v>0</v>
      </c>
      <c r="K274" s="900"/>
      <c r="L274" s="900"/>
    </row>
    <row r="275" spans="1:12" ht="55.5" hidden="1" customHeight="1" outlineLevel="1">
      <c r="A275" s="908"/>
      <c r="B275" s="1560" t="s">
        <v>476</v>
      </c>
      <c r="C275" s="1477"/>
      <c r="D275" s="1477"/>
      <c r="E275" s="1477"/>
      <c r="F275" s="1477"/>
      <c r="G275" s="1477"/>
      <c r="H275" s="1478"/>
      <c r="I275" s="868" t="str">
        <f t="shared" si="17"/>
        <v>-</v>
      </c>
      <c r="J275" s="866">
        <f>SUM(J271+J272+J274)</f>
        <v>0</v>
      </c>
      <c r="K275" s="900"/>
      <c r="L275" s="900"/>
    </row>
    <row r="276" spans="1:12" ht="15.75" hidden="1" customHeight="1" outlineLevel="1">
      <c r="A276" s="908"/>
      <c r="B276" s="870" t="s">
        <v>316</v>
      </c>
      <c r="C276" s="1559" t="s">
        <v>477</v>
      </c>
      <c r="D276" s="1477"/>
      <c r="E276" s="1477"/>
      <c r="F276" s="1477"/>
      <c r="G276" s="1477"/>
      <c r="H276" s="1478"/>
      <c r="I276" s="868" t="str">
        <f t="shared" si="17"/>
        <v>-</v>
      </c>
      <c r="J276" s="769" t="s">
        <v>325</v>
      </c>
      <c r="K276" s="900"/>
      <c r="L276" s="900"/>
    </row>
    <row r="277" spans="1:12" ht="15.75" hidden="1" customHeight="1" outlineLevel="1">
      <c r="A277" s="908"/>
      <c r="B277" s="743"/>
      <c r="C277" s="1589" t="s">
        <v>478</v>
      </c>
      <c r="D277" s="1477"/>
      <c r="E277" s="1477"/>
      <c r="F277" s="1477"/>
      <c r="G277" s="1477"/>
      <c r="H277" s="1478"/>
      <c r="I277" s="868" t="str">
        <f t="shared" si="17"/>
        <v>-</v>
      </c>
      <c r="J277" s="769" t="s">
        <v>325</v>
      </c>
      <c r="K277" s="900"/>
      <c r="L277" s="900"/>
    </row>
    <row r="278" spans="1:12" ht="15.75" hidden="1" customHeight="1" outlineLevel="1">
      <c r="A278" s="908"/>
      <c r="B278" s="743"/>
      <c r="C278" s="1590" t="s">
        <v>550</v>
      </c>
      <c r="D278" s="1477"/>
      <c r="E278" s="1477"/>
      <c r="F278" s="1477"/>
      <c r="G278" s="1477"/>
      <c r="H278" s="1478"/>
      <c r="I278" s="868">
        <f t="shared" si="17"/>
        <v>1.6500000000000001E-2</v>
      </c>
      <c r="J278" s="758">
        <f t="shared" ref="J278:J279" si="18">ROUND(($J$275/(1-$I$179))*I278,2)</f>
        <v>0</v>
      </c>
      <c r="K278" s="900"/>
      <c r="L278" s="900"/>
    </row>
    <row r="279" spans="1:12" ht="15.75" hidden="1" customHeight="1" outlineLevel="1">
      <c r="A279" s="908"/>
      <c r="B279" s="743"/>
      <c r="C279" s="1590" t="s">
        <v>551</v>
      </c>
      <c r="D279" s="1477"/>
      <c r="E279" s="1477"/>
      <c r="F279" s="1477"/>
      <c r="G279" s="1477"/>
      <c r="H279" s="1478"/>
      <c r="I279" s="868">
        <f t="shared" si="17"/>
        <v>7.5999999999999998E-2</v>
      </c>
      <c r="J279" s="758">
        <f t="shared" si="18"/>
        <v>0</v>
      </c>
      <c r="K279" s="900"/>
      <c r="L279" s="900"/>
    </row>
    <row r="280" spans="1:12" ht="15.75" hidden="1" customHeight="1" outlineLevel="1">
      <c r="A280" s="908"/>
      <c r="B280" s="743"/>
      <c r="C280" s="1577" t="s">
        <v>552</v>
      </c>
      <c r="D280" s="1477"/>
      <c r="E280" s="1477"/>
      <c r="F280" s="1477"/>
      <c r="G280" s="1477"/>
      <c r="H280" s="1478"/>
      <c r="I280" s="868" t="str">
        <f t="shared" si="17"/>
        <v>-</v>
      </c>
      <c r="J280" s="769" t="s">
        <v>325</v>
      </c>
      <c r="K280" s="900"/>
      <c r="L280" s="900"/>
    </row>
    <row r="281" spans="1:12" ht="15.75" hidden="1" customHeight="1" outlineLevel="1">
      <c r="A281" s="908"/>
      <c r="B281" s="743"/>
      <c r="C281" s="1577" t="s">
        <v>553</v>
      </c>
      <c r="D281" s="1477"/>
      <c r="E281" s="1477"/>
      <c r="F281" s="1477"/>
      <c r="G281" s="1477"/>
      <c r="H281" s="1478"/>
      <c r="I281" s="868" t="str">
        <f t="shared" si="17"/>
        <v>-</v>
      </c>
      <c r="J281" s="769" t="s">
        <v>325</v>
      </c>
      <c r="K281" s="900"/>
      <c r="L281" s="900"/>
    </row>
    <row r="282" spans="1:12" ht="15.75" hidden="1" customHeight="1" outlineLevel="1">
      <c r="A282" s="908"/>
      <c r="B282" s="743"/>
      <c r="C282" s="1577" t="s">
        <v>483</v>
      </c>
      <c r="D282" s="1477"/>
      <c r="E282" s="1477"/>
      <c r="F282" s="1477"/>
      <c r="G282" s="1477"/>
      <c r="H282" s="1477"/>
      <c r="I282" s="868" t="str">
        <f t="shared" si="17"/>
        <v>-</v>
      </c>
      <c r="J282" s="769" t="s">
        <v>325</v>
      </c>
      <c r="K282" s="900"/>
      <c r="L282" s="900"/>
    </row>
    <row r="283" spans="1:12" ht="15.75" hidden="1" customHeight="1" outlineLevel="1">
      <c r="A283" s="908"/>
      <c r="B283" s="743"/>
      <c r="C283" s="1577" t="s">
        <v>484</v>
      </c>
      <c r="D283" s="1477"/>
      <c r="E283" s="1477"/>
      <c r="F283" s="1477"/>
      <c r="G283" s="1477"/>
      <c r="H283" s="1477"/>
      <c r="I283" s="868" t="str">
        <f t="shared" si="17"/>
        <v>-</v>
      </c>
      <c r="J283" s="769" t="s">
        <v>325</v>
      </c>
      <c r="K283" s="900"/>
      <c r="L283" s="900"/>
    </row>
    <row r="284" spans="1:12" ht="15.75" hidden="1" customHeight="1" outlineLevel="1">
      <c r="A284" s="908"/>
      <c r="B284" s="743"/>
      <c r="C284" s="1577" t="s">
        <v>485</v>
      </c>
      <c r="D284" s="1477"/>
      <c r="E284" s="1477"/>
      <c r="F284" s="1477"/>
      <c r="G284" s="1477"/>
      <c r="H284" s="1478"/>
      <c r="I284" s="868">
        <f t="shared" si="17"/>
        <v>0.02</v>
      </c>
      <c r="J284" s="758">
        <f>ROUND(($J$275/(1-$I$179))*I284,2)</f>
        <v>0</v>
      </c>
      <c r="K284" s="900"/>
      <c r="L284" s="900"/>
    </row>
    <row r="285" spans="1:12" ht="15.75" hidden="1" customHeight="1" outlineLevel="1">
      <c r="A285" s="908"/>
      <c r="B285" s="1585" t="s">
        <v>441</v>
      </c>
      <c r="C285" s="1477"/>
      <c r="D285" s="1477"/>
      <c r="E285" s="1477"/>
      <c r="F285" s="1477"/>
      <c r="G285" s="1477"/>
      <c r="H285" s="1477"/>
      <c r="I285" s="1478"/>
      <c r="J285" s="788">
        <f>SUM(J272+J274+J278+J279+J284)</f>
        <v>0</v>
      </c>
      <c r="K285" s="900"/>
      <c r="L285" s="900"/>
    </row>
    <row r="286" spans="1:12" ht="15.75" hidden="1" customHeight="1" outlineLevel="1">
      <c r="A286" s="908"/>
      <c r="B286" s="908"/>
      <c r="C286" s="908"/>
      <c r="D286" s="908"/>
      <c r="E286" s="908"/>
      <c r="F286" s="908"/>
      <c r="G286" s="908"/>
      <c r="H286" s="908"/>
      <c r="I286" s="908"/>
      <c r="J286" s="908"/>
      <c r="K286" s="900"/>
      <c r="L286" s="900"/>
    </row>
    <row r="287" spans="1:12" ht="15.75" hidden="1" customHeight="1" outlineLevel="1">
      <c r="A287" s="908"/>
      <c r="B287" s="1572" t="s">
        <v>554</v>
      </c>
      <c r="C287" s="1477"/>
      <c r="D287" s="1477"/>
      <c r="E287" s="1477"/>
      <c r="F287" s="1477"/>
      <c r="G287" s="1477"/>
      <c r="H287" s="1477"/>
      <c r="I287" s="1478"/>
      <c r="J287" s="863" t="s">
        <v>390</v>
      </c>
      <c r="K287" s="900"/>
      <c r="L287" s="900"/>
    </row>
    <row r="288" spans="1:12" ht="15.75" hidden="1" customHeight="1" outlineLevel="1">
      <c r="A288" s="908"/>
      <c r="B288" s="880" t="s">
        <v>312</v>
      </c>
      <c r="C288" s="1599" t="s">
        <v>494</v>
      </c>
      <c r="D288" s="1477"/>
      <c r="E288" s="1477"/>
      <c r="F288" s="1477"/>
      <c r="G288" s="1477"/>
      <c r="H288" s="1477"/>
      <c r="I288" s="1477"/>
      <c r="J288" s="881">
        <f>J227</f>
        <v>0</v>
      </c>
      <c r="K288" s="900"/>
      <c r="L288" s="900"/>
    </row>
    <row r="289" spans="1:12" ht="15.75" hidden="1" customHeight="1" outlineLevel="1">
      <c r="A289" s="908"/>
      <c r="B289" s="880" t="s">
        <v>314</v>
      </c>
      <c r="C289" s="1599" t="s">
        <v>495</v>
      </c>
      <c r="D289" s="1477"/>
      <c r="E289" s="1477"/>
      <c r="F289" s="1477"/>
      <c r="G289" s="1477"/>
      <c r="H289" s="1477"/>
      <c r="I289" s="1477"/>
      <c r="J289" s="881">
        <f>J234+J245</f>
        <v>0</v>
      </c>
      <c r="K289" s="900"/>
      <c r="L289" s="900"/>
    </row>
    <row r="290" spans="1:12" ht="15.75" hidden="1" customHeight="1" outlineLevel="1">
      <c r="A290" s="908"/>
      <c r="B290" s="880" t="s">
        <v>316</v>
      </c>
      <c r="C290" s="1599" t="s">
        <v>496</v>
      </c>
      <c r="D290" s="1477"/>
      <c r="E290" s="1477"/>
      <c r="F290" s="1477"/>
      <c r="G290" s="1477"/>
      <c r="H290" s="1477"/>
      <c r="I290" s="1477"/>
      <c r="J290" s="881">
        <f>J254</f>
        <v>0</v>
      </c>
      <c r="K290" s="900"/>
      <c r="L290" s="900"/>
    </row>
    <row r="291" spans="1:12" ht="15.75" hidden="1" customHeight="1" outlineLevel="1">
      <c r="A291" s="908"/>
      <c r="B291" s="880" t="s">
        <v>318</v>
      </c>
      <c r="C291" s="1599" t="s">
        <v>497</v>
      </c>
      <c r="D291" s="1477"/>
      <c r="E291" s="1477"/>
      <c r="F291" s="1477"/>
      <c r="G291" s="1477"/>
      <c r="H291" s="1477"/>
      <c r="I291" s="1477"/>
      <c r="J291" s="881">
        <f>J267</f>
        <v>0</v>
      </c>
      <c r="K291" s="900"/>
      <c r="L291" s="900"/>
    </row>
    <row r="292" spans="1:12" ht="15.75" hidden="1" customHeight="1" outlineLevel="1">
      <c r="A292" s="908"/>
      <c r="B292" s="880" t="s">
        <v>360</v>
      </c>
      <c r="C292" s="1599" t="s">
        <v>498</v>
      </c>
      <c r="D292" s="1477"/>
      <c r="E292" s="1477"/>
      <c r="F292" s="1477"/>
      <c r="G292" s="1477"/>
      <c r="H292" s="1477"/>
      <c r="I292" s="1477"/>
      <c r="J292" s="881">
        <v>0</v>
      </c>
      <c r="K292" s="900"/>
      <c r="L292" s="900"/>
    </row>
    <row r="293" spans="1:12" ht="15.75" hidden="1" customHeight="1" outlineLevel="1">
      <c r="A293" s="908"/>
      <c r="B293" s="1600" t="s">
        <v>499</v>
      </c>
      <c r="C293" s="1477"/>
      <c r="D293" s="1477"/>
      <c r="E293" s="1477"/>
      <c r="F293" s="1477"/>
      <c r="G293" s="1477"/>
      <c r="H293" s="1477"/>
      <c r="I293" s="1521"/>
      <c r="J293" s="857">
        <f>SUM(J288:J292)</f>
        <v>0</v>
      </c>
      <c r="K293" s="900"/>
      <c r="L293" s="900"/>
    </row>
    <row r="294" spans="1:12" ht="15.75" hidden="1" customHeight="1" outlineLevel="1">
      <c r="A294" s="908"/>
      <c r="B294" s="882" t="s">
        <v>364</v>
      </c>
      <c r="C294" s="1599" t="s">
        <v>471</v>
      </c>
      <c r="D294" s="1477"/>
      <c r="E294" s="1477"/>
      <c r="F294" s="1477"/>
      <c r="G294" s="1477"/>
      <c r="H294" s="1477"/>
      <c r="I294" s="1477"/>
      <c r="J294" s="881">
        <f>J285</f>
        <v>0</v>
      </c>
      <c r="K294" s="900"/>
      <c r="L294" s="900"/>
    </row>
    <row r="295" spans="1:12" ht="15.75" hidden="1" customHeight="1" outlineLevel="1">
      <c r="A295" s="908"/>
      <c r="B295" s="1601" t="s">
        <v>555</v>
      </c>
      <c r="C295" s="1477"/>
      <c r="D295" s="1477"/>
      <c r="E295" s="1477"/>
      <c r="F295" s="1477"/>
      <c r="G295" s="1477"/>
      <c r="H295" s="1477"/>
      <c r="I295" s="1521"/>
      <c r="J295" s="928">
        <f>J293+J294</f>
        <v>0</v>
      </c>
      <c r="K295" s="897" t="s">
        <v>556</v>
      </c>
      <c r="L295" s="897" t="str">
        <f>L203</f>
        <v>5162_20_CUIDADOR-de-ALUNOS_40h</v>
      </c>
    </row>
    <row r="296" spans="1:12" ht="15.75" hidden="1" customHeight="1" outlineLevel="1">
      <c r="A296" s="908"/>
      <c r="B296" s="908"/>
      <c r="C296" s="908"/>
      <c r="D296" s="908"/>
      <c r="E296" s="908"/>
      <c r="F296" s="908"/>
      <c r="G296" s="908"/>
      <c r="H296" s="908"/>
      <c r="I296" s="908"/>
      <c r="J296" s="908"/>
      <c r="K296" s="900"/>
      <c r="L296" s="900"/>
    </row>
    <row r="297" spans="1:12" ht="37.5" hidden="1" customHeight="1" outlineLevel="1">
      <c r="A297" s="908"/>
      <c r="B297" s="929" t="s">
        <v>557</v>
      </c>
      <c r="C297" s="906"/>
      <c r="D297" s="906"/>
      <c r="E297" s="906"/>
      <c r="F297" s="906"/>
      <c r="G297" s="930" t="str">
        <f>G219</f>
        <v>5162_20_CUIDADOR-de-ALUNOS_40h</v>
      </c>
      <c r="H297" s="906"/>
      <c r="I297" s="906"/>
      <c r="J297" s="906"/>
      <c r="K297" s="900"/>
      <c r="L297" s="900"/>
    </row>
    <row r="298" spans="1:12" ht="11.25" hidden="1" customHeight="1" outlineLevel="1">
      <c r="A298" s="908"/>
      <c r="B298" s="931"/>
      <c r="C298" s="931"/>
      <c r="D298" s="931"/>
      <c r="E298" s="931"/>
      <c r="F298" s="931"/>
      <c r="G298" s="931"/>
      <c r="H298" s="931"/>
      <c r="I298" s="931"/>
      <c r="J298" s="931"/>
      <c r="K298" s="900"/>
      <c r="L298" s="900"/>
    </row>
    <row r="299" spans="1:12" ht="23.25" hidden="1" customHeight="1" outlineLevel="1">
      <c r="A299" s="908"/>
      <c r="B299" s="1602" t="s">
        <v>410</v>
      </c>
      <c r="C299" s="1477"/>
      <c r="D299" s="1477"/>
      <c r="E299" s="1477"/>
      <c r="F299" s="1477"/>
      <c r="G299" s="1477"/>
      <c r="H299" s="1477"/>
      <c r="I299" s="1477"/>
      <c r="J299" s="1478"/>
      <c r="K299" s="900"/>
      <c r="L299" s="900"/>
    </row>
    <row r="300" spans="1:12" ht="22.5" hidden="1" customHeight="1" outlineLevel="1">
      <c r="A300" s="908"/>
      <c r="B300" s="805" t="s">
        <v>411</v>
      </c>
      <c r="C300" s="1603" t="s">
        <v>558</v>
      </c>
      <c r="D300" s="1477"/>
      <c r="E300" s="1477"/>
      <c r="F300" s="1477"/>
      <c r="G300" s="1477"/>
      <c r="H300" s="1477"/>
      <c r="I300" s="1478"/>
      <c r="J300" s="806" t="s">
        <v>390</v>
      </c>
      <c r="K300" s="900"/>
      <c r="L300" s="900"/>
    </row>
    <row r="301" spans="1:12" ht="30" hidden="1" customHeight="1" outlineLevel="1">
      <c r="A301" s="908"/>
      <c r="B301" s="932" t="s">
        <v>559</v>
      </c>
      <c r="C301" s="932" t="s">
        <v>560</v>
      </c>
      <c r="D301" s="933" t="s">
        <v>561</v>
      </c>
      <c r="E301" s="932" t="s">
        <v>562</v>
      </c>
      <c r="F301" s="934" t="s">
        <v>563</v>
      </c>
      <c r="G301" s="932" t="s">
        <v>564</v>
      </c>
      <c r="H301" s="935" t="s">
        <v>565</v>
      </c>
      <c r="I301" s="936"/>
      <c r="J301" s="937"/>
      <c r="K301" s="900"/>
      <c r="L301" s="900"/>
    </row>
    <row r="302" spans="1:12" ht="62.25" hidden="1" customHeight="1" outlineLevel="1">
      <c r="A302" s="908"/>
      <c r="B302" s="1604" t="s">
        <v>566</v>
      </c>
      <c r="C302" s="938" t="s">
        <v>567</v>
      </c>
      <c r="D302" s="939">
        <v>425</v>
      </c>
      <c r="E302" s="940" t="s">
        <v>568</v>
      </c>
      <c r="F302" s="941">
        <v>380</v>
      </c>
      <c r="G302" s="942" t="s">
        <v>569</v>
      </c>
      <c r="H302" s="943">
        <v>335</v>
      </c>
      <c r="I302" s="944"/>
      <c r="J302" s="945">
        <f>(D302*D303)+(F302*F303)+(H302*H303)</f>
        <v>0</v>
      </c>
      <c r="K302" s="900"/>
      <c r="L302" s="900"/>
    </row>
    <row r="303" spans="1:12" ht="34.5" hidden="1" customHeight="1" outlineLevel="1">
      <c r="A303" s="908"/>
      <c r="B303" s="1605"/>
      <c r="C303" s="946" t="s">
        <v>570</v>
      </c>
      <c r="D303" s="947">
        <v>0</v>
      </c>
      <c r="E303" s="946" t="s">
        <v>571</v>
      </c>
      <c r="F303" s="947">
        <v>0</v>
      </c>
      <c r="G303" s="946" t="s">
        <v>572</v>
      </c>
      <c r="H303" s="948">
        <v>0</v>
      </c>
      <c r="I303" s="949"/>
      <c r="J303" s="950"/>
      <c r="K303" s="900"/>
      <c r="L303" s="900"/>
    </row>
    <row r="304" spans="1:12" ht="15.75" hidden="1" customHeight="1" outlineLevel="1">
      <c r="A304" s="908"/>
      <c r="B304" s="823"/>
      <c r="C304" s="1585" t="s">
        <v>393</v>
      </c>
      <c r="D304" s="1477"/>
      <c r="E304" s="1477"/>
      <c r="F304" s="1477"/>
      <c r="G304" s="1477"/>
      <c r="H304" s="1477"/>
      <c r="I304" s="1521"/>
      <c r="J304" s="788">
        <f>J302</f>
        <v>0</v>
      </c>
      <c r="K304" s="900"/>
      <c r="L304" s="900"/>
    </row>
    <row r="305" spans="1:12" ht="15.75" hidden="1" customHeight="1" outlineLevel="1">
      <c r="A305" s="908"/>
      <c r="B305" s="908"/>
      <c r="C305" s="908"/>
      <c r="D305" s="908"/>
      <c r="E305" s="908"/>
      <c r="F305" s="908"/>
      <c r="G305" s="908"/>
      <c r="H305" s="908"/>
      <c r="I305" s="908"/>
      <c r="J305" s="908"/>
      <c r="K305" s="900"/>
      <c r="L305" s="900"/>
    </row>
    <row r="306" spans="1:12" ht="30.75" hidden="1" customHeight="1" outlineLevel="1">
      <c r="A306" s="908"/>
      <c r="B306" s="805">
        <v>6</v>
      </c>
      <c r="C306" s="1555" t="s">
        <v>472</v>
      </c>
      <c r="D306" s="1477"/>
      <c r="E306" s="1477"/>
      <c r="F306" s="1477"/>
      <c r="G306" s="1477"/>
      <c r="H306" s="1478"/>
      <c r="I306" s="863" t="s">
        <v>354</v>
      </c>
      <c r="J306" s="864" t="s">
        <v>398</v>
      </c>
      <c r="K306" s="900"/>
      <c r="L306" s="900"/>
    </row>
    <row r="307" spans="1:12" ht="42" hidden="1" customHeight="1" outlineLevel="1">
      <c r="A307" s="908"/>
      <c r="B307" s="1560" t="s">
        <v>473</v>
      </c>
      <c r="C307" s="1477"/>
      <c r="D307" s="1477"/>
      <c r="E307" s="1477"/>
      <c r="F307" s="1477"/>
      <c r="G307" s="1477"/>
      <c r="H307" s="1478"/>
      <c r="I307" s="434" t="str">
        <f t="shared" ref="I307:I320" si="19">I271</f>
        <v>-</v>
      </c>
      <c r="J307" s="866">
        <f>J304</f>
        <v>0</v>
      </c>
      <c r="K307" s="900"/>
      <c r="L307" s="900"/>
    </row>
    <row r="308" spans="1:12" ht="15.75" hidden="1" customHeight="1" outlineLevel="1">
      <c r="A308" s="908"/>
      <c r="B308" s="743" t="s">
        <v>312</v>
      </c>
      <c r="C308" s="1561" t="s">
        <v>474</v>
      </c>
      <c r="D308" s="1477"/>
      <c r="E308" s="1477"/>
      <c r="F308" s="1477"/>
      <c r="G308" s="1477"/>
      <c r="H308" s="1478"/>
      <c r="I308" s="868">
        <f t="shared" si="19"/>
        <v>0.06</v>
      </c>
      <c r="J308" s="796">
        <f>ROUND(I308*J307,2)</f>
        <v>0</v>
      </c>
      <c r="K308" s="900"/>
      <c r="L308" s="900"/>
    </row>
    <row r="309" spans="1:12" ht="42" hidden="1" customHeight="1" outlineLevel="1">
      <c r="A309" s="908"/>
      <c r="B309" s="1560" t="s">
        <v>475</v>
      </c>
      <c r="C309" s="1477"/>
      <c r="D309" s="1477"/>
      <c r="E309" s="1477"/>
      <c r="F309" s="1477"/>
      <c r="G309" s="1477"/>
      <c r="H309" s="1478"/>
      <c r="I309" s="868" t="str">
        <f t="shared" si="19"/>
        <v>-</v>
      </c>
      <c r="J309" s="866">
        <f>J307+J308</f>
        <v>0</v>
      </c>
      <c r="K309" s="900"/>
      <c r="L309" s="900"/>
    </row>
    <row r="310" spans="1:12" ht="15.75" hidden="1" customHeight="1" outlineLevel="1">
      <c r="A310" s="908"/>
      <c r="B310" s="743" t="s">
        <v>314</v>
      </c>
      <c r="C310" s="1561" t="s">
        <v>251</v>
      </c>
      <c r="D310" s="1477"/>
      <c r="E310" s="1477"/>
      <c r="F310" s="1477"/>
      <c r="G310" s="1477"/>
      <c r="H310" s="1478"/>
      <c r="I310" s="868">
        <f t="shared" si="19"/>
        <v>0.06</v>
      </c>
      <c r="J310" s="796">
        <f>ROUND(I310*J309,2)</f>
        <v>0</v>
      </c>
      <c r="K310" s="900"/>
      <c r="L310" s="900"/>
    </row>
    <row r="311" spans="1:12" ht="42" hidden="1" customHeight="1" outlineLevel="1">
      <c r="A311" s="908"/>
      <c r="B311" s="1560" t="s">
        <v>476</v>
      </c>
      <c r="C311" s="1477"/>
      <c r="D311" s="1477"/>
      <c r="E311" s="1477"/>
      <c r="F311" s="1477"/>
      <c r="G311" s="1477"/>
      <c r="H311" s="1478"/>
      <c r="I311" s="868" t="str">
        <f t="shared" si="19"/>
        <v>-</v>
      </c>
      <c r="J311" s="866">
        <f>SUM(J307+J308+J310)</f>
        <v>0</v>
      </c>
      <c r="K311" s="900"/>
      <c r="L311" s="900"/>
    </row>
    <row r="312" spans="1:12" ht="15.75" hidden="1" customHeight="1" outlineLevel="1">
      <c r="A312" s="908"/>
      <c r="B312" s="870" t="s">
        <v>316</v>
      </c>
      <c r="C312" s="1559" t="s">
        <v>477</v>
      </c>
      <c r="D312" s="1477"/>
      <c r="E312" s="1477"/>
      <c r="F312" s="1477"/>
      <c r="G312" s="1477"/>
      <c r="H312" s="1478"/>
      <c r="I312" s="868" t="str">
        <f t="shared" si="19"/>
        <v>-</v>
      </c>
      <c r="J312" s="769" t="s">
        <v>325</v>
      </c>
      <c r="K312" s="900"/>
      <c r="L312" s="900"/>
    </row>
    <row r="313" spans="1:12" ht="15.75" hidden="1" customHeight="1" outlineLevel="1">
      <c r="A313" s="908"/>
      <c r="B313" s="743"/>
      <c r="C313" s="1589" t="s">
        <v>478</v>
      </c>
      <c r="D313" s="1477"/>
      <c r="E313" s="1477"/>
      <c r="F313" s="1477"/>
      <c r="G313" s="1477"/>
      <c r="H313" s="1478"/>
      <c r="I313" s="868" t="str">
        <f t="shared" si="19"/>
        <v>-</v>
      </c>
      <c r="J313" s="769" t="s">
        <v>325</v>
      </c>
      <c r="K313" s="900"/>
      <c r="L313" s="900"/>
    </row>
    <row r="314" spans="1:12" ht="15.75" hidden="1" customHeight="1" outlineLevel="1">
      <c r="A314" s="908"/>
      <c r="B314" s="743"/>
      <c r="C314" s="1590" t="s">
        <v>573</v>
      </c>
      <c r="D314" s="1477"/>
      <c r="E314" s="1477"/>
      <c r="F314" s="1477"/>
      <c r="G314" s="1477"/>
      <c r="H314" s="1478"/>
      <c r="I314" s="868">
        <f t="shared" si="19"/>
        <v>1.6500000000000001E-2</v>
      </c>
      <c r="J314" s="758">
        <f t="shared" ref="J314:J315" si="20">ROUND(($J$311/(1-$I$179))*I314,2)</f>
        <v>0</v>
      </c>
      <c r="K314" s="900"/>
      <c r="L314" s="900"/>
    </row>
    <row r="315" spans="1:12" ht="15.75" hidden="1" customHeight="1" outlineLevel="1">
      <c r="A315" s="908"/>
      <c r="B315" s="743"/>
      <c r="C315" s="1590" t="s">
        <v>574</v>
      </c>
      <c r="D315" s="1477"/>
      <c r="E315" s="1477"/>
      <c r="F315" s="1477"/>
      <c r="G315" s="1477"/>
      <c r="H315" s="1478"/>
      <c r="I315" s="868">
        <f t="shared" si="19"/>
        <v>7.5999999999999998E-2</v>
      </c>
      <c r="J315" s="758">
        <f t="shared" si="20"/>
        <v>0</v>
      </c>
      <c r="K315" s="900"/>
      <c r="L315" s="900"/>
    </row>
    <row r="316" spans="1:12" ht="15.75" hidden="1" customHeight="1" outlineLevel="1">
      <c r="A316" s="908"/>
      <c r="B316" s="743"/>
      <c r="C316" s="1577" t="s">
        <v>575</v>
      </c>
      <c r="D316" s="1477"/>
      <c r="E316" s="1477"/>
      <c r="F316" s="1477"/>
      <c r="G316" s="1477"/>
      <c r="H316" s="1478"/>
      <c r="I316" s="868" t="str">
        <f t="shared" si="19"/>
        <v>-</v>
      </c>
      <c r="J316" s="951" t="s">
        <v>325</v>
      </c>
      <c r="K316" s="952"/>
      <c r="L316" s="953"/>
    </row>
    <row r="317" spans="1:12" ht="15.75" hidden="1" customHeight="1" outlineLevel="1">
      <c r="A317" s="908"/>
      <c r="B317" s="743"/>
      <c r="C317" s="1577" t="s">
        <v>576</v>
      </c>
      <c r="D317" s="1477"/>
      <c r="E317" s="1477"/>
      <c r="F317" s="1477"/>
      <c r="G317" s="1477"/>
      <c r="H317" s="1478"/>
      <c r="I317" s="868" t="str">
        <f t="shared" si="19"/>
        <v>-</v>
      </c>
      <c r="J317" s="769" t="s">
        <v>325</v>
      </c>
      <c r="K317" s="900"/>
      <c r="L317" s="900"/>
    </row>
    <row r="318" spans="1:12" ht="15.75" hidden="1" customHeight="1" outlineLevel="1">
      <c r="A318" s="908"/>
      <c r="B318" s="743"/>
      <c r="C318" s="1577" t="s">
        <v>483</v>
      </c>
      <c r="D318" s="1477"/>
      <c r="E318" s="1477"/>
      <c r="F318" s="1477"/>
      <c r="G318" s="1477"/>
      <c r="H318" s="1477"/>
      <c r="I318" s="868" t="str">
        <f t="shared" si="19"/>
        <v>-</v>
      </c>
      <c r="J318" s="769" t="s">
        <v>325</v>
      </c>
      <c r="K318" s="900"/>
      <c r="L318" s="900"/>
    </row>
    <row r="319" spans="1:12" ht="15.75" hidden="1" customHeight="1" outlineLevel="1">
      <c r="A319" s="908"/>
      <c r="B319" s="743"/>
      <c r="C319" s="1577" t="s">
        <v>484</v>
      </c>
      <c r="D319" s="1477"/>
      <c r="E319" s="1477"/>
      <c r="F319" s="1477"/>
      <c r="G319" s="1477"/>
      <c r="H319" s="1477"/>
      <c r="I319" s="868" t="str">
        <f t="shared" si="19"/>
        <v>-</v>
      </c>
      <c r="J319" s="769" t="s">
        <v>325</v>
      </c>
      <c r="K319" s="900"/>
      <c r="L319" s="900"/>
    </row>
    <row r="320" spans="1:12" ht="15.75" hidden="1" customHeight="1" outlineLevel="1">
      <c r="A320" s="908"/>
      <c r="B320" s="743"/>
      <c r="C320" s="1577" t="s">
        <v>485</v>
      </c>
      <c r="D320" s="1477"/>
      <c r="E320" s="1477"/>
      <c r="F320" s="1477"/>
      <c r="G320" s="1477"/>
      <c r="H320" s="1478"/>
      <c r="I320" s="868">
        <f t="shared" si="19"/>
        <v>0.02</v>
      </c>
      <c r="J320" s="758">
        <f>ROUND(($J$311/(1-$I$179))*I320,2)</f>
        <v>0</v>
      </c>
      <c r="K320" s="900"/>
      <c r="L320" s="900"/>
    </row>
    <row r="321" spans="1:12" ht="15.75" hidden="1" customHeight="1" outlineLevel="1">
      <c r="A321" s="908"/>
      <c r="B321" s="1585" t="s">
        <v>441</v>
      </c>
      <c r="C321" s="1477"/>
      <c r="D321" s="1477"/>
      <c r="E321" s="1477"/>
      <c r="F321" s="1477"/>
      <c r="G321" s="1477"/>
      <c r="H321" s="1477"/>
      <c r="I321" s="1478"/>
      <c r="J321" s="788">
        <f>SUM(J308+J310+J314+J315+J320)</f>
        <v>0</v>
      </c>
      <c r="K321" s="900"/>
      <c r="L321" s="900"/>
    </row>
    <row r="322" spans="1:12" ht="15.75" hidden="1" customHeight="1" outlineLevel="1">
      <c r="A322" s="908"/>
      <c r="B322" s="908"/>
      <c r="C322" s="908"/>
      <c r="D322" s="908"/>
      <c r="E322" s="908"/>
      <c r="F322" s="908"/>
      <c r="G322" s="908"/>
      <c r="H322" s="908"/>
      <c r="I322" s="908"/>
      <c r="J322" s="908"/>
      <c r="K322" s="900"/>
      <c r="L322" s="900"/>
    </row>
    <row r="323" spans="1:12" ht="15.75" hidden="1" customHeight="1" outlineLevel="1">
      <c r="A323" s="908"/>
      <c r="B323" s="1572" t="s">
        <v>577</v>
      </c>
      <c r="C323" s="1477"/>
      <c r="D323" s="1477"/>
      <c r="E323" s="1477"/>
      <c r="F323" s="1477"/>
      <c r="G323" s="1477"/>
      <c r="H323" s="1477"/>
      <c r="I323" s="1478"/>
      <c r="J323" s="863" t="s">
        <v>390</v>
      </c>
      <c r="K323" s="900"/>
      <c r="L323" s="900"/>
    </row>
    <row r="324" spans="1:12" ht="15.75" hidden="1" customHeight="1" outlineLevel="1">
      <c r="A324" s="908"/>
      <c r="B324" s="880" t="s">
        <v>312</v>
      </c>
      <c r="C324" s="1599" t="s">
        <v>494</v>
      </c>
      <c r="D324" s="1477"/>
      <c r="E324" s="1477"/>
      <c r="F324" s="1477"/>
      <c r="G324" s="1477"/>
      <c r="H324" s="1477"/>
      <c r="I324" s="1477"/>
      <c r="J324" s="881">
        <v>0</v>
      </c>
      <c r="K324" s="900"/>
      <c r="L324" s="900"/>
    </row>
    <row r="325" spans="1:12" ht="15.75" hidden="1" customHeight="1" outlineLevel="1">
      <c r="A325" s="908"/>
      <c r="B325" s="880" t="s">
        <v>314</v>
      </c>
      <c r="C325" s="1599" t="s">
        <v>578</v>
      </c>
      <c r="D325" s="1477"/>
      <c r="E325" s="1477"/>
      <c r="F325" s="1477"/>
      <c r="G325" s="1477"/>
      <c r="H325" s="1477"/>
      <c r="I325" s="1477"/>
      <c r="J325" s="881">
        <f>J304</f>
        <v>0</v>
      </c>
      <c r="K325" s="900"/>
      <c r="L325" s="900"/>
    </row>
    <row r="326" spans="1:12" ht="15.75" hidden="1" customHeight="1" outlineLevel="1">
      <c r="A326" s="908"/>
      <c r="B326" s="880" t="s">
        <v>316</v>
      </c>
      <c r="C326" s="1599" t="s">
        <v>496</v>
      </c>
      <c r="D326" s="1477"/>
      <c r="E326" s="1477"/>
      <c r="F326" s="1477"/>
      <c r="G326" s="1477"/>
      <c r="H326" s="1477"/>
      <c r="I326" s="1477"/>
      <c r="J326" s="881">
        <v>0</v>
      </c>
      <c r="K326" s="900"/>
      <c r="L326" s="900"/>
    </row>
    <row r="327" spans="1:12" ht="15.75" hidden="1" customHeight="1" outlineLevel="1">
      <c r="A327" s="908"/>
      <c r="B327" s="880" t="s">
        <v>318</v>
      </c>
      <c r="C327" s="1599" t="s">
        <v>497</v>
      </c>
      <c r="D327" s="1477"/>
      <c r="E327" s="1477"/>
      <c r="F327" s="1477"/>
      <c r="G327" s="1477"/>
      <c r="H327" s="1477"/>
      <c r="I327" s="1477"/>
      <c r="J327" s="881">
        <v>0</v>
      </c>
      <c r="K327" s="900"/>
      <c r="L327" s="900"/>
    </row>
    <row r="328" spans="1:12" ht="15.75" hidden="1" customHeight="1" outlineLevel="1">
      <c r="A328" s="908"/>
      <c r="B328" s="880" t="s">
        <v>360</v>
      </c>
      <c r="C328" s="1599" t="s">
        <v>498</v>
      </c>
      <c r="D328" s="1477"/>
      <c r="E328" s="1477"/>
      <c r="F328" s="1477"/>
      <c r="G328" s="1477"/>
      <c r="H328" s="1477"/>
      <c r="I328" s="1477"/>
      <c r="J328" s="881">
        <v>0</v>
      </c>
      <c r="K328" s="900"/>
      <c r="L328" s="900"/>
    </row>
    <row r="329" spans="1:12" ht="15.75" hidden="1" customHeight="1" outlineLevel="1">
      <c r="A329" s="908"/>
      <c r="B329" s="1600" t="s">
        <v>499</v>
      </c>
      <c r="C329" s="1477"/>
      <c r="D329" s="1477"/>
      <c r="E329" s="1477"/>
      <c r="F329" s="1477"/>
      <c r="G329" s="1477"/>
      <c r="H329" s="1477"/>
      <c r="I329" s="1521"/>
      <c r="J329" s="857">
        <f>SUM(J324:J328)</f>
        <v>0</v>
      </c>
      <c r="K329" s="900"/>
      <c r="L329" s="900"/>
    </row>
    <row r="330" spans="1:12" ht="15.75" hidden="1" customHeight="1" outlineLevel="1">
      <c r="A330" s="908"/>
      <c r="B330" s="882" t="s">
        <v>364</v>
      </c>
      <c r="C330" s="1599" t="s">
        <v>471</v>
      </c>
      <c r="D330" s="1477"/>
      <c r="E330" s="1477"/>
      <c r="F330" s="1477"/>
      <c r="G330" s="1477"/>
      <c r="H330" s="1477"/>
      <c r="I330" s="1477"/>
      <c r="J330" s="881">
        <f>J321</f>
        <v>0</v>
      </c>
      <c r="K330" s="900"/>
      <c r="L330" s="900"/>
    </row>
    <row r="331" spans="1:12" ht="18" hidden="1" outlineLevel="1">
      <c r="A331" s="908"/>
      <c r="B331" s="1600" t="s">
        <v>579</v>
      </c>
      <c r="C331" s="1477"/>
      <c r="D331" s="1477"/>
      <c r="E331" s="1477"/>
      <c r="F331" s="1477"/>
      <c r="G331" s="1477"/>
      <c r="H331" s="1477"/>
      <c r="I331" s="1521"/>
      <c r="J331" s="954">
        <f>ROUND(J325+J321,2)</f>
        <v>0</v>
      </c>
      <c r="K331" s="897" t="s">
        <v>580</v>
      </c>
      <c r="L331" s="897" t="str">
        <f>L295</f>
        <v>5162_20_CUIDADOR-de-ALUNOS_40h</v>
      </c>
    </row>
    <row r="332" spans="1:12" ht="15.75" hidden="1" customHeight="1" outlineLevel="1">
      <c r="A332" s="908"/>
      <c r="B332" s="908"/>
      <c r="C332" s="908"/>
      <c r="D332" s="908"/>
      <c r="E332" s="908"/>
      <c r="F332" s="908"/>
      <c r="G332" s="908"/>
      <c r="H332" s="908"/>
      <c r="I332" s="908"/>
      <c r="J332" s="908"/>
      <c r="K332" s="900"/>
      <c r="L332" s="900"/>
    </row>
    <row r="333" spans="1:12" ht="15.75" hidden="1" customHeight="1" outlineLevel="1">
      <c r="A333" s="908"/>
      <c r="B333" s="1606" t="s">
        <v>581</v>
      </c>
      <c r="C333" s="1477"/>
      <c r="D333" s="1477"/>
      <c r="E333" s="1477"/>
      <c r="F333" s="1477"/>
      <c r="G333" s="1477"/>
      <c r="H333" s="1477"/>
      <c r="I333" s="1477"/>
      <c r="J333" s="1478"/>
      <c r="K333" s="900"/>
      <c r="L333" s="900"/>
    </row>
    <row r="334" spans="1:12" ht="54.75" hidden="1" customHeight="1" outlineLevel="1">
      <c r="A334" s="908"/>
      <c r="B334" s="1607" t="s">
        <v>503</v>
      </c>
      <c r="C334" s="1575"/>
      <c r="D334" s="1575"/>
      <c r="E334" s="1608"/>
      <c r="F334" s="955" t="s">
        <v>582</v>
      </c>
      <c r="G334" s="956" t="s">
        <v>583</v>
      </c>
      <c r="H334" s="957" t="s">
        <v>506</v>
      </c>
      <c r="I334" s="1607" t="s">
        <v>507</v>
      </c>
      <c r="J334" s="1608"/>
      <c r="K334" s="900"/>
      <c r="L334" s="900"/>
    </row>
    <row r="335" spans="1:12" ht="31.5" hidden="1" customHeight="1" outlineLevel="1">
      <c r="A335" s="908"/>
      <c r="B335" s="1609" t="str">
        <f>B203</f>
        <v>5162_20_CUIDADOR-de-ALUNOS_40h</v>
      </c>
      <c r="C335" s="1477"/>
      <c r="D335" s="1477"/>
      <c r="E335" s="1478"/>
      <c r="F335" s="958">
        <f>J331</f>
        <v>0</v>
      </c>
      <c r="G335" s="959">
        <f>G203</f>
        <v>1</v>
      </c>
      <c r="H335" s="960">
        <f>H207</f>
        <v>0</v>
      </c>
      <c r="I335" s="1610">
        <f>F335*G335</f>
        <v>0</v>
      </c>
      <c r="J335" s="1478"/>
      <c r="K335" s="900"/>
      <c r="L335" s="900"/>
    </row>
    <row r="336" spans="1:12" ht="7.5" hidden="1" customHeight="1" outlineLevel="1">
      <c r="A336" s="908"/>
      <c r="B336" s="1562"/>
      <c r="C336" s="1477"/>
      <c r="D336" s="1477"/>
      <c r="E336" s="1477"/>
      <c r="F336" s="1477"/>
      <c r="G336" s="1477"/>
      <c r="H336" s="1477"/>
      <c r="I336" s="1477"/>
      <c r="J336" s="1478"/>
      <c r="K336" s="900"/>
      <c r="L336" s="900"/>
    </row>
    <row r="337" spans="1:12" ht="21.75" hidden="1" customHeight="1" outlineLevel="1">
      <c r="A337" s="908"/>
      <c r="B337" s="1563" t="s">
        <v>584</v>
      </c>
      <c r="C337" s="1477"/>
      <c r="D337" s="1477"/>
      <c r="E337" s="1477"/>
      <c r="F337" s="1477"/>
      <c r="G337" s="1478"/>
      <c r="H337" s="1564">
        <f>I335</f>
        <v>0</v>
      </c>
      <c r="I337" s="1477"/>
      <c r="J337" s="1478"/>
      <c r="K337" s="900"/>
      <c r="L337" s="900"/>
    </row>
    <row r="338" spans="1:12" ht="8.25" hidden="1" customHeight="1" outlineLevel="1">
      <c r="A338" s="908"/>
      <c r="B338" s="1565"/>
      <c r="C338" s="1528"/>
      <c r="D338" s="1528"/>
      <c r="E338" s="1528"/>
      <c r="F338" s="1528"/>
      <c r="G338" s="1528"/>
      <c r="H338" s="1528"/>
      <c r="I338" s="1528"/>
      <c r="J338" s="1566"/>
      <c r="K338" s="900"/>
      <c r="L338" s="900"/>
    </row>
    <row r="339" spans="1:12" ht="15.75" hidden="1" customHeight="1" outlineLevel="1">
      <c r="A339" s="908"/>
      <c r="B339" s="1563" t="s">
        <v>517</v>
      </c>
      <c r="C339" s="1477"/>
      <c r="D339" s="1477"/>
      <c r="E339" s="1477"/>
      <c r="F339" s="1477"/>
      <c r="G339" s="1478"/>
      <c r="H339" s="1567">
        <f>$I$11</f>
        <v>30</v>
      </c>
      <c r="I339" s="1477"/>
      <c r="J339" s="1478"/>
      <c r="K339" s="900"/>
      <c r="L339" s="900"/>
    </row>
    <row r="340" spans="1:12" ht="8.25" hidden="1" customHeight="1" outlineLevel="1">
      <c r="A340" s="908"/>
      <c r="B340" s="1568"/>
      <c r="C340" s="1477"/>
      <c r="D340" s="1477"/>
      <c r="E340" s="1477"/>
      <c r="F340" s="1477"/>
      <c r="G340" s="1477"/>
      <c r="H340" s="1477"/>
      <c r="I340" s="1477"/>
      <c r="J340" s="1478"/>
      <c r="K340" s="900"/>
      <c r="L340" s="900"/>
    </row>
    <row r="341" spans="1:12" ht="23.25" hidden="1" customHeight="1" outlineLevel="1">
      <c r="A341" s="908"/>
      <c r="B341" s="1563" t="s">
        <v>585</v>
      </c>
      <c r="C341" s="1477"/>
      <c r="D341" s="1477"/>
      <c r="E341" s="1477"/>
      <c r="F341" s="1477"/>
      <c r="G341" s="1478"/>
      <c r="H341" s="1569">
        <f>ROUND(H337*H339,2)</f>
        <v>0</v>
      </c>
      <c r="I341" s="1477"/>
      <c r="J341" s="1478"/>
      <c r="K341" s="900"/>
      <c r="L341" s="900"/>
    </row>
    <row r="342" spans="1:12" ht="12" hidden="1" customHeight="1" outlineLevel="1">
      <c r="A342" s="961"/>
      <c r="B342" s="1570"/>
      <c r="C342" s="1477"/>
      <c r="D342" s="1477"/>
      <c r="E342" s="1477"/>
      <c r="F342" s="1477"/>
      <c r="G342" s="1477"/>
      <c r="H342" s="1477"/>
      <c r="I342" s="1477"/>
      <c r="J342" s="1478"/>
      <c r="K342" s="962"/>
      <c r="L342" s="962"/>
    </row>
    <row r="343" spans="1:12" ht="12.75" hidden="1" customHeight="1" outlineLevel="1">
      <c r="A343" s="10"/>
      <c r="B343" s="963"/>
      <c r="C343" s="964"/>
      <c r="D343" s="964"/>
      <c r="E343" s="964"/>
      <c r="F343" s="965"/>
      <c r="G343" s="965"/>
      <c r="H343" s="965"/>
      <c r="I343" s="966"/>
      <c r="J343" s="967"/>
      <c r="K343" s="904"/>
      <c r="L343" s="904"/>
    </row>
    <row r="344" spans="1:12" ht="35.25" hidden="1" customHeight="1" outlineLevel="1">
      <c r="A344" s="908"/>
      <c r="B344" s="1591" t="str">
        <f>B3</f>
        <v>5162_20_CUIDADOR-de-ALUNOS_40h</v>
      </c>
      <c r="C344" s="1419"/>
      <c r="D344" s="1419"/>
      <c r="E344" s="1592"/>
      <c r="F344" s="968">
        <f>I203</f>
        <v>7024.09</v>
      </c>
      <c r="G344" s="969">
        <f>G203</f>
        <v>1</v>
      </c>
      <c r="H344" s="969">
        <f>H335</f>
        <v>0</v>
      </c>
      <c r="I344" s="970">
        <f>F344*H344</f>
        <v>0</v>
      </c>
      <c r="J344" s="971">
        <f>I344*H339</f>
        <v>0</v>
      </c>
      <c r="K344" s="900"/>
      <c r="L344" s="900"/>
    </row>
    <row r="345" spans="1:12" ht="35.25" hidden="1" customHeight="1" outlineLevel="1">
      <c r="A345" s="908"/>
      <c r="B345" s="1593" t="str">
        <f>B219</f>
        <v>CALCULO DO CUSTO EXCLUSIVO de HORAS EXTRAS</v>
      </c>
      <c r="C345" s="1594"/>
      <c r="D345" s="1594"/>
      <c r="E345" s="1595"/>
      <c r="F345" s="972">
        <f>J295</f>
        <v>0</v>
      </c>
      <c r="G345" s="969">
        <f t="shared" ref="G345:H345" si="21">G344</f>
        <v>1</v>
      </c>
      <c r="H345" s="969">
        <f t="shared" si="21"/>
        <v>0</v>
      </c>
      <c r="I345" s="970">
        <f>IF(H335&gt;=1, F345*1, 0)</f>
        <v>0</v>
      </c>
      <c r="J345" s="971">
        <f>I345*H339</f>
        <v>0</v>
      </c>
      <c r="K345" s="900"/>
      <c r="L345" s="900"/>
    </row>
    <row r="346" spans="1:12" ht="35.25" hidden="1" customHeight="1" outlineLevel="1">
      <c r="A346" s="908"/>
      <c r="B346" s="1596" t="str">
        <f>B297</f>
        <v xml:space="preserve">CALCULO DO CUSTO EXCLUSIVO das DIÁRIAS </v>
      </c>
      <c r="C346" s="1597"/>
      <c r="D346" s="1597"/>
      <c r="E346" s="1598"/>
      <c r="F346" s="973">
        <f>J331</f>
        <v>0</v>
      </c>
      <c r="G346" s="974">
        <f t="shared" ref="G346:H346" si="22">G345</f>
        <v>1</v>
      </c>
      <c r="H346" s="974">
        <f t="shared" si="22"/>
        <v>0</v>
      </c>
      <c r="I346" s="975">
        <f>IF(H335&gt;=1, F346*1, 0)</f>
        <v>0</v>
      </c>
      <c r="J346" s="976">
        <f>I346*H339</f>
        <v>0</v>
      </c>
      <c r="K346" s="900"/>
      <c r="L346" s="900"/>
    </row>
    <row r="347" spans="1:12" ht="41.25" hidden="1" customHeight="1" outlineLevel="1">
      <c r="A347" s="908"/>
      <c r="B347" s="977" t="s">
        <v>586</v>
      </c>
      <c r="C347" s="978"/>
      <c r="D347" s="979" t="str">
        <f>G297</f>
        <v>5162_20_CUIDADOR-de-ALUNOS_40h</v>
      </c>
      <c r="E347" s="978"/>
      <c r="F347" s="978"/>
      <c r="G347" s="978"/>
      <c r="H347" s="978"/>
      <c r="I347" s="980"/>
      <c r="J347" s="981">
        <f>J344+J345+J346</f>
        <v>0</v>
      </c>
      <c r="K347" s="900"/>
      <c r="L347" s="900"/>
    </row>
    <row r="348" spans="1:12" ht="15.75" customHeight="1" collapsed="1">
      <c r="A348" s="908"/>
      <c r="B348" s="908"/>
      <c r="C348" s="908"/>
      <c r="D348" s="908"/>
      <c r="E348" s="908"/>
      <c r="F348" s="908"/>
      <c r="G348" s="908"/>
      <c r="H348" s="908"/>
      <c r="I348" s="908"/>
      <c r="J348" s="908"/>
      <c r="K348" s="900"/>
      <c r="L348" s="900"/>
    </row>
    <row r="349" spans="1:12" ht="15.75" customHeight="1">
      <c r="A349" s="908"/>
      <c r="B349" s="908"/>
      <c r="C349" s="908"/>
      <c r="D349" s="908"/>
      <c r="E349" s="908"/>
      <c r="F349" s="908"/>
      <c r="G349" s="908"/>
      <c r="H349" s="908"/>
      <c r="I349" s="908"/>
      <c r="J349" s="908"/>
      <c r="K349" s="900"/>
      <c r="L349" s="900"/>
    </row>
    <row r="350" spans="1:12" ht="15.75" customHeight="1">
      <c r="A350" s="908"/>
      <c r="B350" s="908"/>
      <c r="C350" s="908"/>
      <c r="D350" s="908"/>
      <c r="E350" s="908"/>
      <c r="F350" s="908"/>
      <c r="G350" s="908"/>
      <c r="H350" s="908"/>
      <c r="I350" s="908"/>
      <c r="J350" s="908"/>
      <c r="K350" s="900"/>
      <c r="L350" s="900"/>
    </row>
    <row r="351" spans="1:12" ht="15.75" customHeight="1">
      <c r="A351" s="908"/>
      <c r="B351" s="908"/>
      <c r="C351" s="908"/>
      <c r="D351" s="908"/>
      <c r="E351" s="908"/>
      <c r="F351" s="908"/>
      <c r="G351" s="908"/>
      <c r="H351" s="908"/>
      <c r="I351" s="908"/>
      <c r="J351" s="908"/>
      <c r="K351" s="900"/>
      <c r="L351" s="900"/>
    </row>
    <row r="352" spans="1:12" ht="15.75" customHeight="1">
      <c r="A352" s="908"/>
      <c r="B352" s="908"/>
      <c r="C352" s="908"/>
      <c r="D352" s="908"/>
      <c r="E352" s="908"/>
      <c r="F352" s="908"/>
      <c r="G352" s="908"/>
      <c r="H352" s="908"/>
      <c r="I352" s="908"/>
      <c r="J352" s="908"/>
      <c r="K352" s="900"/>
      <c r="L352" s="900"/>
    </row>
    <row r="353" spans="1:12" ht="15.75" customHeight="1">
      <c r="A353" s="908"/>
      <c r="B353" s="908"/>
      <c r="C353" s="908"/>
      <c r="D353" s="908"/>
      <c r="E353" s="908"/>
      <c r="F353" s="908"/>
      <c r="G353" s="908"/>
      <c r="H353" s="908"/>
      <c r="I353" s="908"/>
      <c r="J353" s="908"/>
      <c r="K353" s="900"/>
      <c r="L353" s="900"/>
    </row>
    <row r="354" spans="1:12" ht="15.75" customHeight="1">
      <c r="A354" s="908"/>
      <c r="B354" s="908"/>
      <c r="C354" s="908"/>
      <c r="D354" s="908"/>
      <c r="E354" s="908"/>
      <c r="F354" s="908"/>
      <c r="G354" s="908"/>
      <c r="H354" s="908"/>
      <c r="I354" s="908"/>
      <c r="J354" s="908"/>
      <c r="K354" s="900"/>
      <c r="L354" s="900"/>
    </row>
    <row r="355" spans="1:12" ht="15.75" customHeight="1">
      <c r="A355" s="908"/>
      <c r="B355" s="908"/>
      <c r="C355" s="908"/>
      <c r="D355" s="908"/>
      <c r="E355" s="908"/>
      <c r="F355" s="908"/>
      <c r="G355" s="908"/>
      <c r="H355" s="908"/>
      <c r="I355" s="908"/>
      <c r="J355" s="908"/>
      <c r="K355" s="900"/>
      <c r="L355" s="900"/>
    </row>
    <row r="356" spans="1:12" ht="15.75" customHeight="1">
      <c r="A356" s="908"/>
      <c r="B356" s="908"/>
      <c r="C356" s="908"/>
      <c r="D356" s="908"/>
      <c r="E356" s="908"/>
      <c r="F356" s="908"/>
      <c r="G356" s="908"/>
      <c r="H356" s="908"/>
      <c r="I356" s="908"/>
      <c r="J356" s="908"/>
      <c r="K356" s="900"/>
      <c r="L356" s="900"/>
    </row>
    <row r="357" spans="1:12" ht="15.75" customHeight="1">
      <c r="A357" s="908"/>
      <c r="B357" s="908"/>
      <c r="C357" s="908"/>
      <c r="D357" s="908"/>
      <c r="E357" s="908"/>
      <c r="F357" s="908"/>
      <c r="G357" s="908"/>
      <c r="H357" s="908"/>
      <c r="I357" s="908"/>
      <c r="J357" s="908"/>
      <c r="K357" s="900"/>
      <c r="L357" s="900"/>
    </row>
    <row r="358" spans="1:12" ht="15.75" customHeight="1">
      <c r="A358" s="908"/>
      <c r="B358" s="908"/>
      <c r="C358" s="908"/>
      <c r="D358" s="908"/>
      <c r="E358" s="908"/>
      <c r="F358" s="908"/>
      <c r="G358" s="908"/>
      <c r="H358" s="908"/>
      <c r="I358" s="908"/>
      <c r="J358" s="908"/>
      <c r="K358" s="900"/>
      <c r="L358" s="900"/>
    </row>
    <row r="359" spans="1:12" ht="15.75" customHeight="1">
      <c r="A359" s="908"/>
      <c r="B359" s="908"/>
      <c r="C359" s="908"/>
      <c r="D359" s="908"/>
      <c r="E359" s="908"/>
      <c r="F359" s="908"/>
      <c r="G359" s="908"/>
      <c r="H359" s="908"/>
      <c r="I359" s="908"/>
      <c r="J359" s="908"/>
      <c r="K359" s="900"/>
      <c r="L359" s="900"/>
    </row>
    <row r="360" spans="1:12" ht="15.75" customHeight="1">
      <c r="A360" s="908"/>
      <c r="B360" s="908"/>
      <c r="C360" s="908"/>
      <c r="D360" s="908"/>
      <c r="F360" s="908"/>
      <c r="G360" s="908"/>
      <c r="H360" s="908"/>
      <c r="I360" s="908"/>
      <c r="J360" s="908"/>
      <c r="K360" s="900"/>
      <c r="L360" s="900"/>
    </row>
    <row r="361" spans="1:12" ht="15.75" customHeight="1">
      <c r="A361" s="908"/>
      <c r="B361" s="908"/>
      <c r="C361" s="908"/>
      <c r="D361" s="908"/>
      <c r="E361" s="982"/>
      <c r="F361" s="908"/>
      <c r="G361" s="908"/>
      <c r="H361" s="908"/>
      <c r="I361" s="908"/>
      <c r="J361" s="908"/>
      <c r="K361" s="900"/>
      <c r="L361" s="900"/>
    </row>
    <row r="362" spans="1:12" ht="15.75" customHeight="1">
      <c r="A362" s="908"/>
      <c r="B362" s="908"/>
      <c r="C362" s="908"/>
      <c r="D362" s="908"/>
      <c r="E362" s="982"/>
      <c r="F362" s="908"/>
      <c r="G362" s="908"/>
      <c r="H362" s="908"/>
      <c r="I362" s="908"/>
      <c r="J362" s="908"/>
      <c r="K362" s="900"/>
      <c r="L362" s="900"/>
    </row>
    <row r="363" spans="1:12" ht="15.75" customHeight="1">
      <c r="A363" s="908"/>
      <c r="B363" s="908"/>
      <c r="C363" s="908"/>
      <c r="D363" s="908"/>
      <c r="E363" s="982"/>
      <c r="F363" s="908"/>
      <c r="G363" s="908"/>
      <c r="H363" s="908"/>
      <c r="I363" s="908"/>
      <c r="J363" s="908"/>
      <c r="K363" s="900"/>
      <c r="L363" s="900"/>
    </row>
    <row r="364" spans="1:12" ht="15.75" customHeight="1">
      <c r="A364" s="908"/>
      <c r="B364" s="908"/>
      <c r="C364" s="908"/>
      <c r="D364" s="908"/>
      <c r="E364" s="982"/>
      <c r="F364" s="908"/>
      <c r="G364" s="908"/>
      <c r="H364" s="908"/>
      <c r="I364" s="908"/>
      <c r="J364" s="908"/>
      <c r="K364" s="900"/>
      <c r="L364" s="900"/>
    </row>
    <row r="365" spans="1:12" ht="15.75" customHeight="1">
      <c r="A365" s="908"/>
      <c r="B365" s="908"/>
      <c r="C365" s="908"/>
      <c r="D365" s="908"/>
      <c r="E365" s="983"/>
      <c r="F365" s="908"/>
      <c r="G365" s="908"/>
      <c r="H365" s="908"/>
      <c r="I365" s="908"/>
      <c r="J365" s="908"/>
      <c r="K365" s="900"/>
      <c r="L365" s="900"/>
    </row>
    <row r="366" spans="1:12" ht="15.75" customHeight="1">
      <c r="A366" s="908"/>
      <c r="B366" s="908"/>
      <c r="C366" s="908"/>
      <c r="D366" s="908"/>
      <c r="E366" s="984"/>
      <c r="F366" s="908"/>
      <c r="G366" s="908"/>
      <c r="H366" s="908"/>
      <c r="I366" s="908"/>
      <c r="J366" s="908"/>
      <c r="K366" s="900"/>
      <c r="L366" s="900"/>
    </row>
    <row r="367" spans="1:12" ht="15.75" customHeight="1">
      <c r="A367" s="908"/>
      <c r="B367" s="908"/>
      <c r="C367" s="908"/>
      <c r="D367" s="908"/>
      <c r="E367" s="984"/>
      <c r="F367" s="908"/>
      <c r="G367" s="908"/>
      <c r="H367" s="908"/>
      <c r="I367" s="908"/>
      <c r="J367" s="908"/>
      <c r="K367" s="900"/>
      <c r="L367" s="900"/>
    </row>
    <row r="368" spans="1:12" ht="15.75" customHeight="1">
      <c r="A368" s="908"/>
      <c r="B368" s="908"/>
      <c r="C368" s="908"/>
      <c r="D368" s="908"/>
      <c r="E368" s="983"/>
      <c r="F368" s="908"/>
      <c r="G368" s="908"/>
      <c r="H368" s="908"/>
      <c r="I368" s="908"/>
      <c r="J368" s="908"/>
      <c r="K368" s="900"/>
      <c r="L368" s="900"/>
    </row>
    <row r="369" spans="1:12" ht="15.75" customHeight="1">
      <c r="A369" s="908"/>
      <c r="B369" s="908"/>
      <c r="C369" s="908"/>
      <c r="D369" s="908"/>
      <c r="E369" s="984"/>
      <c r="F369" s="908"/>
      <c r="G369" s="908"/>
      <c r="H369" s="908"/>
      <c r="I369" s="908"/>
      <c r="J369" s="908"/>
      <c r="K369" s="900"/>
      <c r="L369" s="900"/>
    </row>
    <row r="370" spans="1:12" ht="15.75" customHeight="1">
      <c r="A370" s="908"/>
      <c r="B370" s="908"/>
      <c r="C370" s="908"/>
      <c r="D370" s="908"/>
      <c r="E370" s="984"/>
      <c r="F370" s="908"/>
      <c r="G370" s="908"/>
      <c r="H370" s="908"/>
      <c r="I370" s="908"/>
      <c r="J370" s="908"/>
      <c r="K370" s="900"/>
      <c r="L370" s="900"/>
    </row>
    <row r="371" spans="1:12" ht="15.75" customHeight="1">
      <c r="A371" s="908"/>
      <c r="B371" s="908"/>
      <c r="C371" s="908"/>
      <c r="D371" s="908"/>
      <c r="E371" s="983"/>
      <c r="F371" s="908"/>
      <c r="G371" s="908"/>
      <c r="H371" s="908"/>
      <c r="I371" s="908"/>
      <c r="J371" s="908"/>
      <c r="K371" s="900"/>
      <c r="L371" s="900"/>
    </row>
    <row r="372" spans="1:12" ht="15.75" customHeight="1">
      <c r="A372" s="908"/>
      <c r="B372" s="908"/>
      <c r="C372" s="908"/>
      <c r="D372" s="908"/>
      <c r="E372" s="984"/>
      <c r="F372" s="908"/>
      <c r="G372" s="908"/>
      <c r="H372" s="908"/>
      <c r="I372" s="908"/>
      <c r="J372" s="908"/>
      <c r="K372" s="900"/>
      <c r="L372" s="900"/>
    </row>
    <row r="373" spans="1:12" ht="15.75" customHeight="1">
      <c r="A373" s="908"/>
      <c r="B373" s="908"/>
      <c r="C373" s="908"/>
      <c r="D373" s="908"/>
      <c r="E373" s="984"/>
      <c r="F373" s="908"/>
      <c r="G373" s="908"/>
      <c r="H373" s="908"/>
      <c r="I373" s="908"/>
      <c r="J373" s="908"/>
      <c r="K373" s="900"/>
      <c r="L373" s="900"/>
    </row>
    <row r="374" spans="1:12" ht="15.75" customHeight="1">
      <c r="A374" s="908"/>
      <c r="B374" s="908"/>
      <c r="C374" s="908"/>
      <c r="D374" s="908"/>
      <c r="E374" s="983"/>
      <c r="F374" s="908"/>
      <c r="G374" s="908"/>
      <c r="H374" s="908"/>
      <c r="I374" s="908"/>
      <c r="J374" s="908"/>
      <c r="K374" s="900"/>
      <c r="L374" s="900"/>
    </row>
    <row r="375" spans="1:12" ht="15.75" customHeight="1">
      <c r="A375" s="908"/>
      <c r="B375" s="908"/>
      <c r="C375" s="908"/>
      <c r="D375" s="908"/>
      <c r="E375" s="908"/>
      <c r="F375" s="908"/>
      <c r="G375" s="908"/>
      <c r="H375" s="908"/>
      <c r="I375" s="908"/>
      <c r="J375" s="908"/>
      <c r="K375" s="900"/>
      <c r="L375" s="900"/>
    </row>
    <row r="376" spans="1:12" ht="15.75" customHeight="1">
      <c r="A376" s="908"/>
      <c r="B376" s="908"/>
      <c r="C376" s="908"/>
      <c r="D376" s="908"/>
      <c r="E376" s="908"/>
      <c r="F376" s="908"/>
      <c r="G376" s="908"/>
      <c r="H376" s="908"/>
      <c r="I376" s="908"/>
      <c r="J376" s="908"/>
      <c r="K376" s="900"/>
      <c r="L376" s="900"/>
    </row>
    <row r="377" spans="1:12" ht="15.75" customHeight="1">
      <c r="A377" s="908"/>
      <c r="B377" s="908"/>
      <c r="C377" s="908"/>
      <c r="D377" s="908"/>
      <c r="E377" s="908"/>
      <c r="F377" s="908"/>
      <c r="G377" s="908"/>
      <c r="H377" s="908"/>
      <c r="I377" s="908"/>
      <c r="J377" s="908"/>
      <c r="K377" s="900"/>
      <c r="L377" s="900"/>
    </row>
    <row r="378" spans="1:12" ht="15.75" customHeight="1">
      <c r="A378" s="908"/>
      <c r="B378" s="908"/>
      <c r="C378" s="908"/>
      <c r="D378" s="908"/>
      <c r="E378" s="908"/>
      <c r="F378" s="908"/>
      <c r="G378" s="908"/>
      <c r="H378" s="908"/>
      <c r="I378" s="908"/>
      <c r="J378" s="908"/>
      <c r="K378" s="900"/>
      <c r="L378" s="900"/>
    </row>
    <row r="379" spans="1:12" ht="15.75" customHeight="1">
      <c r="A379" s="908"/>
      <c r="B379" s="908"/>
      <c r="C379" s="908"/>
      <c r="D379" s="908"/>
      <c r="E379" s="908"/>
      <c r="F379" s="908"/>
      <c r="G379" s="908"/>
      <c r="H379" s="908"/>
      <c r="I379" s="908"/>
      <c r="J379" s="908"/>
      <c r="K379" s="900"/>
      <c r="L379" s="900"/>
    </row>
    <row r="380" spans="1:12" ht="15.75" customHeight="1">
      <c r="A380" s="908"/>
      <c r="B380" s="908"/>
      <c r="C380" s="908"/>
      <c r="D380" s="908"/>
      <c r="E380" s="908"/>
      <c r="F380" s="908"/>
      <c r="G380" s="908"/>
      <c r="H380" s="908"/>
      <c r="I380" s="908"/>
      <c r="J380" s="908"/>
      <c r="K380" s="900"/>
      <c r="L380" s="900"/>
    </row>
    <row r="381" spans="1:12" ht="15.75" customHeight="1">
      <c r="A381" s="908"/>
      <c r="B381" s="908"/>
      <c r="C381" s="908"/>
      <c r="D381" s="908"/>
      <c r="E381" s="908"/>
      <c r="F381" s="908"/>
      <c r="G381" s="908"/>
      <c r="H381" s="908"/>
      <c r="I381" s="908"/>
      <c r="J381" s="908"/>
      <c r="K381" s="900"/>
      <c r="L381" s="900"/>
    </row>
    <row r="382" spans="1:12" ht="15.75" customHeight="1">
      <c r="A382" s="908"/>
      <c r="B382" s="908"/>
      <c r="C382" s="908"/>
      <c r="D382" s="908"/>
      <c r="E382" s="908"/>
      <c r="F382" s="908"/>
      <c r="G382" s="908"/>
      <c r="H382" s="908"/>
      <c r="I382" s="908"/>
      <c r="J382" s="908"/>
      <c r="K382" s="900"/>
      <c r="L382" s="900"/>
    </row>
    <row r="383" spans="1:12" ht="15.75" customHeight="1">
      <c r="A383" s="908"/>
      <c r="B383" s="908"/>
      <c r="C383" s="908"/>
      <c r="D383" s="908"/>
      <c r="E383" s="908"/>
      <c r="F383" s="908"/>
      <c r="G383" s="908"/>
      <c r="H383" s="908"/>
      <c r="I383" s="908"/>
      <c r="J383" s="908"/>
      <c r="K383" s="900"/>
      <c r="L383" s="900"/>
    </row>
    <row r="384" spans="1:12" ht="15.75" customHeight="1">
      <c r="A384" s="908"/>
      <c r="B384" s="908"/>
      <c r="C384" s="908"/>
      <c r="D384" s="908"/>
      <c r="E384" s="908"/>
      <c r="F384" s="908"/>
      <c r="G384" s="908"/>
      <c r="H384" s="908"/>
      <c r="I384" s="908"/>
      <c r="J384" s="908"/>
      <c r="K384" s="900"/>
      <c r="L384" s="900"/>
    </row>
    <row r="385" spans="1:12" ht="15.75" customHeight="1">
      <c r="A385" s="908"/>
      <c r="B385" s="908"/>
      <c r="C385" s="908"/>
      <c r="D385" s="908"/>
      <c r="E385" s="908"/>
      <c r="F385" s="908"/>
      <c r="G385" s="908"/>
      <c r="H385" s="908"/>
      <c r="I385" s="908"/>
      <c r="J385" s="908"/>
      <c r="K385" s="900"/>
      <c r="L385" s="900"/>
    </row>
    <row r="386" spans="1:12" ht="15.75" customHeight="1">
      <c r="A386" s="908"/>
      <c r="B386" s="908"/>
      <c r="C386" s="908"/>
      <c r="D386" s="908"/>
      <c r="E386" s="908"/>
      <c r="F386" s="908"/>
      <c r="G386" s="908"/>
      <c r="H386" s="908"/>
      <c r="I386" s="908"/>
      <c r="J386" s="908"/>
      <c r="K386" s="900"/>
      <c r="L386" s="900"/>
    </row>
    <row r="387" spans="1:12" ht="15.75" customHeight="1">
      <c r="A387" s="908"/>
      <c r="B387" s="908"/>
      <c r="C387" s="908"/>
      <c r="D387" s="908"/>
      <c r="E387" s="908"/>
      <c r="F387" s="908"/>
      <c r="G387" s="908"/>
      <c r="H387" s="908"/>
      <c r="I387" s="908"/>
      <c r="J387" s="908"/>
      <c r="K387" s="900"/>
      <c r="L387" s="900"/>
    </row>
    <row r="388" spans="1:12" ht="15.75" customHeight="1">
      <c r="A388" s="908"/>
      <c r="B388" s="908"/>
      <c r="C388" s="908"/>
      <c r="D388" s="908"/>
      <c r="E388" s="908"/>
      <c r="F388" s="908"/>
      <c r="G388" s="908"/>
      <c r="H388" s="908"/>
      <c r="I388" s="908"/>
      <c r="J388" s="908"/>
      <c r="K388" s="900"/>
      <c r="L388" s="900"/>
    </row>
    <row r="389" spans="1:12" ht="15.75" customHeight="1">
      <c r="A389" s="908"/>
      <c r="B389" s="908"/>
      <c r="C389" s="908"/>
      <c r="D389" s="908"/>
      <c r="E389" s="908"/>
      <c r="F389" s="908"/>
      <c r="G389" s="908"/>
      <c r="H389" s="908"/>
      <c r="I389" s="908"/>
      <c r="J389" s="908"/>
      <c r="K389" s="900"/>
      <c r="L389" s="900"/>
    </row>
    <row r="390" spans="1:12" ht="15.75" customHeight="1">
      <c r="A390" s="908"/>
      <c r="B390" s="908"/>
      <c r="C390" s="908"/>
      <c r="D390" s="908"/>
      <c r="E390" s="908"/>
      <c r="F390" s="908"/>
      <c r="G390" s="908"/>
      <c r="H390" s="908"/>
      <c r="I390" s="908"/>
      <c r="J390" s="908"/>
      <c r="K390" s="900"/>
      <c r="L390" s="900"/>
    </row>
    <row r="391" spans="1:12" ht="15.75" customHeight="1">
      <c r="A391" s="908"/>
      <c r="B391" s="908"/>
      <c r="C391" s="908"/>
      <c r="D391" s="908"/>
      <c r="E391" s="908"/>
      <c r="F391" s="908"/>
      <c r="G391" s="908"/>
      <c r="H391" s="908"/>
      <c r="I391" s="908"/>
      <c r="J391" s="908"/>
      <c r="K391" s="900"/>
      <c r="L391" s="900"/>
    </row>
    <row r="392" spans="1:12" ht="15.75" customHeight="1">
      <c r="A392" s="908"/>
      <c r="B392" s="908"/>
      <c r="C392" s="908"/>
      <c r="D392" s="908"/>
      <c r="E392" s="908"/>
      <c r="F392" s="908"/>
      <c r="G392" s="908"/>
      <c r="H392" s="908"/>
      <c r="I392" s="908"/>
      <c r="J392" s="908"/>
      <c r="K392" s="900"/>
      <c r="L392" s="900"/>
    </row>
    <row r="393" spans="1:12" ht="15.75" customHeight="1">
      <c r="A393" s="908"/>
      <c r="B393" s="908"/>
      <c r="C393" s="908"/>
      <c r="D393" s="908"/>
      <c r="E393" s="908"/>
      <c r="F393" s="908"/>
      <c r="G393" s="908"/>
      <c r="H393" s="908"/>
      <c r="I393" s="908"/>
      <c r="J393" s="908"/>
      <c r="K393" s="900"/>
      <c r="L393" s="900"/>
    </row>
    <row r="394" spans="1:12" ht="15.75" customHeight="1">
      <c r="A394" s="908"/>
      <c r="B394" s="908"/>
      <c r="C394" s="908"/>
      <c r="D394" s="908"/>
      <c r="E394" s="908"/>
      <c r="F394" s="908"/>
      <c r="G394" s="908"/>
      <c r="H394" s="908"/>
      <c r="I394" s="908"/>
      <c r="J394" s="908"/>
      <c r="K394" s="900"/>
      <c r="L394" s="900"/>
    </row>
    <row r="395" spans="1:12" ht="15.75" customHeight="1">
      <c r="A395" s="908"/>
      <c r="B395" s="908"/>
      <c r="C395" s="908"/>
      <c r="D395" s="908"/>
      <c r="E395" s="908"/>
      <c r="F395" s="908"/>
      <c r="G395" s="908"/>
      <c r="H395" s="908"/>
      <c r="I395" s="908"/>
      <c r="J395" s="908"/>
      <c r="K395" s="900"/>
      <c r="L395" s="900"/>
    </row>
    <row r="396" spans="1:12" ht="15.75" customHeight="1">
      <c r="A396" s="908"/>
      <c r="B396" s="908"/>
      <c r="C396" s="908"/>
      <c r="D396" s="908"/>
      <c r="E396" s="908"/>
      <c r="F396" s="908"/>
      <c r="G396" s="908"/>
      <c r="H396" s="908"/>
      <c r="I396" s="908"/>
      <c r="J396" s="908"/>
      <c r="K396" s="900"/>
      <c r="L396" s="900"/>
    </row>
    <row r="397" spans="1:12" ht="15.75" customHeight="1">
      <c r="A397" s="908"/>
      <c r="B397" s="908"/>
      <c r="C397" s="908"/>
      <c r="D397" s="908"/>
      <c r="E397" s="908"/>
      <c r="F397" s="908"/>
      <c r="G397" s="908"/>
      <c r="H397" s="908"/>
      <c r="I397" s="908"/>
      <c r="J397" s="908"/>
      <c r="K397" s="900"/>
      <c r="L397" s="900"/>
    </row>
    <row r="398" spans="1:12" ht="15.75" customHeight="1">
      <c r="A398" s="908"/>
      <c r="B398" s="908"/>
      <c r="C398" s="908"/>
      <c r="D398" s="908"/>
      <c r="E398" s="908"/>
      <c r="F398" s="908"/>
      <c r="G398" s="908"/>
      <c r="H398" s="908"/>
      <c r="I398" s="908"/>
      <c r="J398" s="908"/>
      <c r="K398" s="900"/>
      <c r="L398" s="900"/>
    </row>
    <row r="399" spans="1:12" ht="15.75" customHeight="1">
      <c r="A399" s="908"/>
      <c r="B399" s="908"/>
      <c r="C399" s="908"/>
      <c r="D399" s="908"/>
      <c r="E399" s="908"/>
      <c r="F399" s="908"/>
      <c r="G399" s="908"/>
      <c r="H399" s="908"/>
      <c r="I399" s="908"/>
      <c r="J399" s="908"/>
      <c r="K399" s="900"/>
      <c r="L399" s="900"/>
    </row>
    <row r="400" spans="1:12" ht="15.75" customHeight="1">
      <c r="A400" s="908"/>
      <c r="B400" s="908"/>
      <c r="C400" s="908"/>
      <c r="D400" s="908"/>
      <c r="E400" s="908"/>
      <c r="F400" s="908"/>
      <c r="G400" s="908"/>
      <c r="H400" s="908"/>
      <c r="I400" s="908"/>
      <c r="J400" s="908"/>
      <c r="K400" s="900"/>
      <c r="L400" s="900"/>
    </row>
    <row r="401" spans="1:12" ht="15.75" customHeight="1">
      <c r="A401" s="908"/>
      <c r="B401" s="908"/>
      <c r="C401" s="908"/>
      <c r="D401" s="908"/>
      <c r="E401" s="908"/>
      <c r="F401" s="908"/>
      <c r="G401" s="908"/>
      <c r="H401" s="908"/>
      <c r="I401" s="908"/>
      <c r="J401" s="908"/>
      <c r="K401" s="900"/>
      <c r="L401" s="900"/>
    </row>
    <row r="402" spans="1:12" ht="15.75" customHeight="1">
      <c r="A402" s="908"/>
      <c r="B402" s="908"/>
      <c r="C402" s="908"/>
      <c r="D402" s="908"/>
      <c r="E402" s="908"/>
      <c r="F402" s="908"/>
      <c r="G402" s="908"/>
      <c r="H402" s="908"/>
      <c r="I402" s="908"/>
      <c r="J402" s="908"/>
      <c r="K402" s="900"/>
      <c r="L402" s="900"/>
    </row>
    <row r="403" spans="1:12" ht="15.75" customHeight="1">
      <c r="A403" s="908"/>
      <c r="B403" s="908"/>
      <c r="C403" s="908"/>
      <c r="D403" s="908"/>
      <c r="E403" s="908"/>
      <c r="F403" s="908"/>
      <c r="G403" s="908"/>
      <c r="H403" s="908"/>
      <c r="I403" s="908"/>
      <c r="J403" s="908"/>
      <c r="K403" s="900"/>
      <c r="L403" s="900"/>
    </row>
    <row r="404" spans="1:12" ht="15.75" customHeight="1">
      <c r="A404" s="908"/>
      <c r="B404" s="908"/>
      <c r="C404" s="908"/>
      <c r="D404" s="908"/>
      <c r="E404" s="908"/>
      <c r="F404" s="908"/>
      <c r="G404" s="908"/>
      <c r="H404" s="908"/>
      <c r="I404" s="908"/>
      <c r="J404" s="908"/>
      <c r="K404" s="900"/>
      <c r="L404" s="900"/>
    </row>
    <row r="405" spans="1:12" ht="15.75" customHeight="1">
      <c r="A405" s="908"/>
      <c r="B405" s="908"/>
      <c r="C405" s="908"/>
      <c r="D405" s="908"/>
      <c r="E405" s="908"/>
      <c r="F405" s="908"/>
      <c r="G405" s="908"/>
      <c r="H405" s="908"/>
      <c r="I405" s="908"/>
      <c r="J405" s="908"/>
      <c r="K405" s="900"/>
      <c r="L405" s="900"/>
    </row>
    <row r="406" spans="1:12" ht="15.75" customHeight="1">
      <c r="A406" s="908"/>
      <c r="B406" s="908"/>
      <c r="C406" s="908"/>
      <c r="D406" s="908"/>
      <c r="E406" s="908"/>
      <c r="F406" s="908"/>
      <c r="G406" s="908"/>
      <c r="H406" s="908"/>
      <c r="I406" s="908"/>
      <c r="J406" s="908"/>
      <c r="K406" s="900"/>
      <c r="L406" s="900"/>
    </row>
    <row r="407" spans="1:12" ht="15.75" customHeight="1">
      <c r="A407" s="908"/>
      <c r="B407" s="908"/>
      <c r="C407" s="908"/>
      <c r="D407" s="908"/>
      <c r="E407" s="908"/>
      <c r="F407" s="908"/>
      <c r="G407" s="908"/>
      <c r="H407" s="908"/>
      <c r="I407" s="908"/>
      <c r="J407" s="908"/>
      <c r="K407" s="900"/>
      <c r="L407" s="900"/>
    </row>
    <row r="408" spans="1:12" ht="15.75" customHeight="1">
      <c r="A408" s="908"/>
      <c r="B408" s="908"/>
      <c r="C408" s="908"/>
      <c r="D408" s="908"/>
      <c r="E408" s="908"/>
      <c r="F408" s="908"/>
      <c r="G408" s="908"/>
      <c r="H408" s="908"/>
      <c r="I408" s="908"/>
      <c r="J408" s="908"/>
      <c r="K408" s="900"/>
      <c r="L408" s="900"/>
    </row>
    <row r="409" spans="1:12" ht="15.75" customHeight="1">
      <c r="A409" s="908"/>
      <c r="B409" s="908"/>
      <c r="C409" s="908"/>
      <c r="D409" s="908"/>
      <c r="E409" s="908"/>
      <c r="F409" s="908"/>
      <c r="G409" s="908"/>
      <c r="H409" s="908"/>
      <c r="I409" s="908"/>
      <c r="J409" s="908"/>
      <c r="K409" s="900"/>
      <c r="L409" s="900"/>
    </row>
    <row r="410" spans="1:12" ht="15.75" customHeight="1">
      <c r="A410" s="908"/>
      <c r="B410" s="908"/>
      <c r="C410" s="908"/>
      <c r="D410" s="908"/>
      <c r="E410" s="908"/>
      <c r="F410" s="908"/>
      <c r="G410" s="908"/>
      <c r="H410" s="908"/>
      <c r="I410" s="908"/>
      <c r="J410" s="908"/>
      <c r="K410" s="900"/>
      <c r="L410" s="900"/>
    </row>
    <row r="411" spans="1:12" ht="15.75" customHeight="1">
      <c r="A411" s="908"/>
      <c r="B411" s="908"/>
      <c r="C411" s="908"/>
      <c r="D411" s="908"/>
      <c r="E411" s="908"/>
      <c r="F411" s="908"/>
      <c r="G411" s="908"/>
      <c r="H411" s="908"/>
      <c r="I411" s="908"/>
      <c r="J411" s="908"/>
      <c r="K411" s="900"/>
      <c r="L411" s="900"/>
    </row>
    <row r="412" spans="1:12" ht="15.75" customHeight="1">
      <c r="A412" s="908"/>
      <c r="B412" s="908"/>
      <c r="C412" s="908"/>
      <c r="D412" s="908"/>
      <c r="E412" s="908"/>
      <c r="F412" s="908"/>
      <c r="G412" s="908"/>
      <c r="H412" s="908"/>
      <c r="I412" s="908"/>
      <c r="J412" s="908"/>
      <c r="K412" s="900"/>
      <c r="L412" s="900"/>
    </row>
    <row r="413" spans="1:12" ht="15.75" customHeight="1">
      <c r="A413" s="908"/>
      <c r="B413" s="908"/>
      <c r="C413" s="908"/>
      <c r="D413" s="908"/>
      <c r="E413" s="908"/>
      <c r="F413" s="908"/>
      <c r="G413" s="908"/>
      <c r="H413" s="908"/>
      <c r="I413" s="908"/>
      <c r="J413" s="908"/>
      <c r="K413" s="900"/>
      <c r="L413" s="900"/>
    </row>
    <row r="414" spans="1:12" ht="15.75" customHeight="1">
      <c r="A414" s="908"/>
      <c r="B414" s="908"/>
      <c r="C414" s="908"/>
      <c r="D414" s="908"/>
      <c r="E414" s="908"/>
      <c r="F414" s="908"/>
      <c r="G414" s="908"/>
      <c r="H414" s="908"/>
      <c r="I414" s="908"/>
      <c r="J414" s="908"/>
      <c r="K414" s="900"/>
      <c r="L414" s="900"/>
    </row>
    <row r="415" spans="1:12" ht="15.75" customHeight="1">
      <c r="A415" s="908"/>
      <c r="B415" s="908"/>
      <c r="C415" s="908"/>
      <c r="D415" s="908"/>
      <c r="E415" s="908"/>
      <c r="F415" s="908"/>
      <c r="G415" s="908"/>
      <c r="H415" s="908"/>
      <c r="I415" s="908"/>
      <c r="J415" s="908"/>
      <c r="K415" s="900"/>
      <c r="L415" s="900"/>
    </row>
    <row r="416" spans="1:12" ht="15.75" customHeight="1">
      <c r="A416" s="908"/>
      <c r="B416" s="908"/>
      <c r="C416" s="908"/>
      <c r="D416" s="908"/>
      <c r="E416" s="908"/>
      <c r="F416" s="908"/>
      <c r="G416" s="908"/>
      <c r="H416" s="908"/>
      <c r="I416" s="908"/>
      <c r="J416" s="908"/>
      <c r="K416" s="900"/>
      <c r="L416" s="900"/>
    </row>
    <row r="417" spans="1:12" ht="15.75" customHeight="1">
      <c r="A417" s="908"/>
      <c r="B417" s="908"/>
      <c r="C417" s="908"/>
      <c r="D417" s="908"/>
      <c r="E417" s="908"/>
      <c r="F417" s="908"/>
      <c r="G417" s="908"/>
      <c r="H417" s="908"/>
      <c r="I417" s="908"/>
      <c r="J417" s="908"/>
      <c r="K417" s="900"/>
      <c r="L417" s="900"/>
    </row>
    <row r="418" spans="1:12" ht="15.75" customHeight="1">
      <c r="A418" s="908"/>
      <c r="B418" s="908"/>
      <c r="C418" s="908"/>
      <c r="D418" s="908"/>
      <c r="E418" s="908"/>
      <c r="F418" s="908"/>
      <c r="G418" s="908"/>
      <c r="H418" s="908"/>
      <c r="I418" s="908"/>
      <c r="J418" s="908"/>
      <c r="K418" s="900"/>
      <c r="L418" s="900"/>
    </row>
    <row r="419" spans="1:12" ht="15.75" customHeight="1">
      <c r="A419" s="908"/>
      <c r="B419" s="908"/>
      <c r="C419" s="908"/>
      <c r="D419" s="908"/>
      <c r="E419" s="908"/>
      <c r="F419" s="908"/>
      <c r="G419" s="908"/>
      <c r="H419" s="908"/>
      <c r="I419" s="908"/>
      <c r="J419" s="908"/>
      <c r="K419" s="900"/>
      <c r="L419" s="900"/>
    </row>
    <row r="420" spans="1:12" ht="15.75" customHeight="1">
      <c r="A420" s="908"/>
      <c r="B420" s="908"/>
      <c r="C420" s="908"/>
      <c r="D420" s="908"/>
      <c r="E420" s="908"/>
      <c r="F420" s="908"/>
      <c r="G420" s="908"/>
      <c r="H420" s="908"/>
      <c r="I420" s="908"/>
      <c r="J420" s="908"/>
      <c r="K420" s="900"/>
      <c r="L420" s="900"/>
    </row>
    <row r="421" spans="1:12" ht="15.75" customHeight="1">
      <c r="A421" s="908"/>
      <c r="B421" s="908"/>
      <c r="C421" s="908"/>
      <c r="D421" s="908"/>
      <c r="E421" s="908"/>
      <c r="F421" s="908"/>
      <c r="G421" s="908"/>
      <c r="H421" s="908"/>
      <c r="I421" s="908"/>
      <c r="J421" s="908"/>
      <c r="K421" s="900"/>
      <c r="L421" s="900"/>
    </row>
    <row r="422" spans="1:12" ht="15.75" customHeight="1">
      <c r="A422" s="908"/>
      <c r="B422" s="908"/>
      <c r="C422" s="908"/>
      <c r="D422" s="908"/>
      <c r="E422" s="908"/>
      <c r="F422" s="908"/>
      <c r="G422" s="908"/>
      <c r="H422" s="908"/>
      <c r="I422" s="908"/>
      <c r="J422" s="908"/>
      <c r="K422" s="900"/>
      <c r="L422" s="900"/>
    </row>
    <row r="423" spans="1:12" ht="15.75" customHeight="1">
      <c r="A423" s="908"/>
      <c r="B423" s="908"/>
      <c r="C423" s="908"/>
      <c r="D423" s="908"/>
      <c r="E423" s="908"/>
      <c r="F423" s="908"/>
      <c r="G423" s="908"/>
      <c r="H423" s="908"/>
      <c r="I423" s="908"/>
      <c r="J423" s="908"/>
      <c r="K423" s="900"/>
      <c r="L423" s="900"/>
    </row>
    <row r="424" spans="1:12" ht="15.75" customHeight="1">
      <c r="A424" s="908"/>
      <c r="B424" s="908"/>
      <c r="C424" s="908"/>
      <c r="D424" s="908"/>
      <c r="E424" s="908"/>
      <c r="F424" s="908"/>
      <c r="G424" s="908"/>
      <c r="H424" s="908"/>
      <c r="I424" s="908"/>
      <c r="J424" s="908"/>
      <c r="K424" s="900"/>
      <c r="L424" s="900"/>
    </row>
    <row r="425" spans="1:12" ht="15.75" customHeight="1">
      <c r="A425" s="908"/>
      <c r="B425" s="908"/>
      <c r="C425" s="908"/>
      <c r="D425" s="908"/>
      <c r="E425" s="908"/>
      <c r="F425" s="908"/>
      <c r="G425" s="908"/>
      <c r="H425" s="908"/>
      <c r="I425" s="908"/>
      <c r="J425" s="908"/>
      <c r="K425" s="900"/>
      <c r="L425" s="900"/>
    </row>
    <row r="426" spans="1:12" ht="15.75" customHeight="1">
      <c r="A426" s="908"/>
      <c r="B426" s="908"/>
      <c r="C426" s="908"/>
      <c r="D426" s="908"/>
      <c r="E426" s="908"/>
      <c r="F426" s="908"/>
      <c r="G426" s="908"/>
      <c r="H426" s="908"/>
      <c r="I426" s="908"/>
      <c r="J426" s="908"/>
      <c r="K426" s="900"/>
      <c r="L426" s="900"/>
    </row>
    <row r="427" spans="1:12" ht="15.75" customHeight="1">
      <c r="A427" s="908"/>
      <c r="B427" s="908"/>
      <c r="C427" s="908"/>
      <c r="D427" s="908"/>
      <c r="E427" s="908"/>
      <c r="F427" s="908"/>
      <c r="G427" s="908"/>
      <c r="H427" s="908"/>
      <c r="I427" s="908"/>
      <c r="J427" s="908"/>
      <c r="K427" s="900"/>
      <c r="L427" s="900"/>
    </row>
    <row r="428" spans="1:12" ht="15.75" customHeight="1">
      <c r="A428" s="908"/>
      <c r="B428" s="908"/>
      <c r="C428" s="908"/>
      <c r="D428" s="908"/>
      <c r="E428" s="908"/>
      <c r="F428" s="908"/>
      <c r="G428" s="908"/>
      <c r="H428" s="908"/>
      <c r="I428" s="908"/>
      <c r="J428" s="908"/>
      <c r="K428" s="900"/>
      <c r="L428" s="900"/>
    </row>
    <row r="429" spans="1:12" ht="15.75" customHeight="1">
      <c r="A429" s="908"/>
      <c r="B429" s="908"/>
      <c r="C429" s="908"/>
      <c r="D429" s="908"/>
      <c r="E429" s="908"/>
      <c r="F429" s="908"/>
      <c r="G429" s="908"/>
      <c r="H429" s="908"/>
      <c r="I429" s="908"/>
      <c r="J429" s="908"/>
      <c r="K429" s="900"/>
      <c r="L429" s="900"/>
    </row>
    <row r="430" spans="1:12" ht="15.75" customHeight="1">
      <c r="A430" s="908"/>
      <c r="B430" s="908"/>
      <c r="C430" s="908"/>
      <c r="D430" s="908"/>
      <c r="E430" s="908"/>
      <c r="F430" s="908"/>
      <c r="G430" s="908"/>
      <c r="H430" s="908"/>
      <c r="I430" s="908"/>
      <c r="J430" s="908"/>
      <c r="K430" s="900"/>
      <c r="L430" s="900"/>
    </row>
    <row r="431" spans="1:12" ht="15.75" customHeight="1">
      <c r="A431" s="908"/>
      <c r="B431" s="908"/>
      <c r="C431" s="908"/>
      <c r="D431" s="908"/>
      <c r="E431" s="908"/>
      <c r="F431" s="908"/>
      <c r="G431" s="908"/>
      <c r="H431" s="908"/>
      <c r="I431" s="908"/>
      <c r="J431" s="908"/>
      <c r="K431" s="900"/>
      <c r="L431" s="900"/>
    </row>
    <row r="432" spans="1:12" ht="15.75" customHeight="1">
      <c r="A432" s="908"/>
      <c r="B432" s="908"/>
      <c r="C432" s="908"/>
      <c r="D432" s="908"/>
      <c r="E432" s="908"/>
      <c r="F432" s="908"/>
      <c r="G432" s="908"/>
      <c r="H432" s="908"/>
      <c r="I432" s="908"/>
      <c r="J432" s="908"/>
      <c r="K432" s="900"/>
      <c r="L432" s="900"/>
    </row>
    <row r="433" spans="1:12" ht="15.75" customHeight="1">
      <c r="A433" s="908"/>
      <c r="B433" s="908"/>
      <c r="C433" s="908"/>
      <c r="D433" s="908"/>
      <c r="E433" s="908"/>
      <c r="F433" s="908"/>
      <c r="G433" s="908"/>
      <c r="H433" s="908"/>
      <c r="I433" s="908"/>
      <c r="J433" s="908"/>
      <c r="K433" s="900"/>
      <c r="L433" s="900"/>
    </row>
    <row r="434" spans="1:12" ht="15.75" customHeight="1">
      <c r="A434" s="908"/>
      <c r="B434" s="908"/>
      <c r="C434" s="908"/>
      <c r="D434" s="908"/>
      <c r="E434" s="908"/>
      <c r="F434" s="908"/>
      <c r="G434" s="908"/>
      <c r="H434" s="908"/>
      <c r="I434" s="908"/>
      <c r="J434" s="908"/>
      <c r="K434" s="900"/>
      <c r="L434" s="900"/>
    </row>
    <row r="435" spans="1:12" ht="15.75" customHeight="1">
      <c r="A435" s="908"/>
      <c r="B435" s="908"/>
      <c r="C435" s="908"/>
      <c r="D435" s="908"/>
      <c r="E435" s="908"/>
      <c r="F435" s="908"/>
      <c r="G435" s="908"/>
      <c r="H435" s="908"/>
      <c r="I435" s="908"/>
      <c r="J435" s="908"/>
      <c r="K435" s="900"/>
      <c r="L435" s="900"/>
    </row>
    <row r="436" spans="1:12" ht="15.75" customHeight="1">
      <c r="A436" s="908"/>
      <c r="B436" s="908"/>
      <c r="C436" s="908"/>
      <c r="D436" s="908"/>
      <c r="E436" s="908"/>
      <c r="F436" s="908"/>
      <c r="G436" s="908"/>
      <c r="H436" s="908"/>
      <c r="I436" s="908"/>
      <c r="J436" s="908"/>
      <c r="K436" s="900"/>
      <c r="L436" s="900"/>
    </row>
    <row r="437" spans="1:12" ht="15.75" customHeight="1">
      <c r="A437" s="908"/>
      <c r="B437" s="908"/>
      <c r="C437" s="908"/>
      <c r="D437" s="908"/>
      <c r="E437" s="908"/>
      <c r="F437" s="908"/>
      <c r="G437" s="908"/>
      <c r="H437" s="908"/>
      <c r="I437" s="908"/>
      <c r="J437" s="908"/>
      <c r="K437" s="900"/>
      <c r="L437" s="900"/>
    </row>
    <row r="438" spans="1:12" ht="15.75" customHeight="1">
      <c r="A438" s="908"/>
      <c r="B438" s="908"/>
      <c r="C438" s="908"/>
      <c r="D438" s="908"/>
      <c r="E438" s="908"/>
      <c r="F438" s="908"/>
      <c r="G438" s="908"/>
      <c r="H438" s="908"/>
      <c r="I438" s="908"/>
      <c r="J438" s="908"/>
      <c r="K438" s="900"/>
      <c r="L438" s="900"/>
    </row>
    <row r="439" spans="1:12" ht="15.75" customHeight="1">
      <c r="A439" s="908"/>
      <c r="B439" s="908"/>
      <c r="C439" s="908"/>
      <c r="D439" s="908"/>
      <c r="E439" s="908"/>
      <c r="F439" s="908"/>
      <c r="G439" s="908"/>
      <c r="H439" s="908"/>
      <c r="I439" s="908"/>
      <c r="J439" s="908"/>
      <c r="K439" s="900"/>
      <c r="L439" s="900"/>
    </row>
    <row r="440" spans="1:12" ht="15.75" customHeight="1">
      <c r="A440" s="908"/>
      <c r="B440" s="908"/>
      <c r="C440" s="908"/>
      <c r="D440" s="908"/>
      <c r="E440" s="908"/>
      <c r="F440" s="908"/>
      <c r="G440" s="908"/>
      <c r="H440" s="908"/>
      <c r="I440" s="908"/>
      <c r="J440" s="908"/>
      <c r="K440" s="900"/>
      <c r="L440" s="900"/>
    </row>
    <row r="441" spans="1:12" ht="15.75" customHeight="1">
      <c r="A441" s="908"/>
      <c r="B441" s="908"/>
      <c r="C441" s="908"/>
      <c r="D441" s="908"/>
      <c r="E441" s="908"/>
      <c r="F441" s="908"/>
      <c r="G441" s="908"/>
      <c r="H441" s="908"/>
      <c r="I441" s="908"/>
      <c r="J441" s="908"/>
      <c r="K441" s="900"/>
      <c r="L441" s="900"/>
    </row>
    <row r="442" spans="1:12" ht="15.75" customHeight="1">
      <c r="A442" s="908"/>
      <c r="B442" s="908"/>
      <c r="C442" s="908"/>
      <c r="D442" s="908"/>
      <c r="E442" s="908"/>
      <c r="F442" s="908"/>
      <c r="G442" s="908"/>
      <c r="H442" s="908"/>
      <c r="I442" s="908"/>
      <c r="J442" s="908"/>
      <c r="K442" s="900"/>
      <c r="L442" s="900"/>
    </row>
    <row r="443" spans="1:12" ht="15.75" customHeight="1">
      <c r="A443" s="908"/>
      <c r="B443" s="908"/>
      <c r="C443" s="908"/>
      <c r="D443" s="908"/>
      <c r="E443" s="908"/>
      <c r="F443" s="908"/>
      <c r="G443" s="908"/>
      <c r="H443" s="908"/>
      <c r="I443" s="908"/>
      <c r="J443" s="908"/>
      <c r="K443" s="900"/>
      <c r="L443" s="900"/>
    </row>
    <row r="444" spans="1:12" ht="15.75" customHeight="1">
      <c r="A444" s="908"/>
      <c r="B444" s="908"/>
      <c r="C444" s="908"/>
      <c r="D444" s="908"/>
      <c r="E444" s="908"/>
      <c r="F444" s="908"/>
      <c r="G444" s="908"/>
      <c r="H444" s="908"/>
      <c r="I444" s="908"/>
      <c r="J444" s="908"/>
      <c r="K444" s="900"/>
      <c r="L444" s="900"/>
    </row>
    <row r="445" spans="1:12" ht="15.75" customHeight="1">
      <c r="A445" s="908"/>
      <c r="B445" s="908"/>
      <c r="C445" s="908"/>
      <c r="D445" s="908"/>
      <c r="E445" s="908"/>
      <c r="F445" s="908"/>
      <c r="G445" s="908"/>
      <c r="H445" s="908"/>
      <c r="I445" s="908"/>
      <c r="J445" s="908"/>
      <c r="K445" s="900"/>
      <c r="L445" s="900"/>
    </row>
    <row r="446" spans="1:12" ht="15.75" customHeight="1">
      <c r="A446" s="908"/>
      <c r="B446" s="908"/>
      <c r="C446" s="908"/>
      <c r="D446" s="908"/>
      <c r="E446" s="908"/>
      <c r="F446" s="908"/>
      <c r="G446" s="908"/>
      <c r="H446" s="908"/>
      <c r="I446" s="908"/>
      <c r="J446" s="908"/>
      <c r="K446" s="900"/>
      <c r="L446" s="900"/>
    </row>
    <row r="447" spans="1:12" ht="15.75" customHeight="1">
      <c r="A447" s="908"/>
      <c r="B447" s="908"/>
      <c r="C447" s="908"/>
      <c r="D447" s="908"/>
      <c r="E447" s="908"/>
      <c r="F447" s="908"/>
      <c r="G447" s="908"/>
      <c r="H447" s="908"/>
      <c r="I447" s="908"/>
      <c r="J447" s="908"/>
      <c r="K447" s="900"/>
      <c r="L447" s="900"/>
    </row>
    <row r="448" spans="1:12" ht="15.75" customHeight="1">
      <c r="A448" s="908"/>
      <c r="B448" s="908"/>
      <c r="C448" s="908"/>
      <c r="D448" s="908"/>
      <c r="E448" s="908"/>
      <c r="F448" s="908"/>
      <c r="G448" s="908"/>
      <c r="H448" s="908"/>
      <c r="I448" s="908"/>
      <c r="J448" s="908"/>
      <c r="K448" s="900"/>
      <c r="L448" s="900"/>
    </row>
    <row r="449" spans="1:12" ht="15.75" customHeight="1">
      <c r="A449" s="908"/>
      <c r="B449" s="908"/>
      <c r="C449" s="908"/>
      <c r="D449" s="908"/>
      <c r="E449" s="908"/>
      <c r="F449" s="908"/>
      <c r="G449" s="908"/>
      <c r="H449" s="908"/>
      <c r="I449" s="908"/>
      <c r="J449" s="908"/>
      <c r="K449" s="900"/>
      <c r="L449" s="900"/>
    </row>
    <row r="450" spans="1:12" ht="15.75" customHeight="1">
      <c r="A450" s="908"/>
      <c r="B450" s="908"/>
      <c r="C450" s="908"/>
      <c r="D450" s="908"/>
      <c r="E450" s="908"/>
      <c r="F450" s="908"/>
      <c r="G450" s="908"/>
      <c r="H450" s="908"/>
      <c r="I450" s="908"/>
      <c r="J450" s="908"/>
      <c r="K450" s="900"/>
      <c r="L450" s="900"/>
    </row>
    <row r="451" spans="1:12" ht="15.75" customHeight="1">
      <c r="A451" s="908"/>
      <c r="B451" s="908"/>
      <c r="C451" s="908"/>
      <c r="D451" s="908"/>
      <c r="E451" s="908"/>
      <c r="F451" s="908"/>
      <c r="G451" s="908"/>
      <c r="H451" s="908"/>
      <c r="I451" s="908"/>
      <c r="J451" s="908"/>
      <c r="K451" s="900"/>
      <c r="L451" s="900"/>
    </row>
    <row r="452" spans="1:12" ht="15.75" customHeight="1">
      <c r="A452" s="908"/>
      <c r="B452" s="908"/>
      <c r="C452" s="908"/>
      <c r="D452" s="908"/>
      <c r="E452" s="908"/>
      <c r="F452" s="908"/>
      <c r="G452" s="908"/>
      <c r="H452" s="908"/>
      <c r="I452" s="908"/>
      <c r="J452" s="908"/>
      <c r="K452" s="900"/>
      <c r="L452" s="900"/>
    </row>
    <row r="453" spans="1:12" ht="15.75" customHeight="1">
      <c r="A453" s="908"/>
      <c r="B453" s="908"/>
      <c r="C453" s="908"/>
      <c r="D453" s="908"/>
      <c r="E453" s="908"/>
      <c r="F453" s="908"/>
      <c r="G453" s="908"/>
      <c r="H453" s="908"/>
      <c r="I453" s="908"/>
      <c r="J453" s="908"/>
      <c r="K453" s="900"/>
      <c r="L453" s="900"/>
    </row>
    <row r="454" spans="1:12" ht="15.75" customHeight="1">
      <c r="A454" s="908"/>
      <c r="B454" s="908"/>
      <c r="C454" s="908"/>
      <c r="D454" s="908"/>
      <c r="E454" s="908"/>
      <c r="F454" s="908"/>
      <c r="G454" s="908"/>
      <c r="H454" s="908"/>
      <c r="I454" s="908"/>
      <c r="J454" s="908"/>
      <c r="K454" s="900"/>
      <c r="L454" s="900"/>
    </row>
    <row r="455" spans="1:12" ht="15.75" customHeight="1">
      <c r="A455" s="908"/>
      <c r="B455" s="908"/>
      <c r="C455" s="908"/>
      <c r="D455" s="908"/>
      <c r="E455" s="908"/>
      <c r="F455" s="908"/>
      <c r="G455" s="908"/>
      <c r="H455" s="908"/>
      <c r="I455" s="908"/>
      <c r="J455" s="908"/>
      <c r="K455" s="900"/>
      <c r="L455" s="900"/>
    </row>
    <row r="456" spans="1:12" ht="15.75" customHeight="1">
      <c r="A456" s="908"/>
      <c r="B456" s="908"/>
      <c r="C456" s="908"/>
      <c r="D456" s="908"/>
      <c r="E456" s="908"/>
      <c r="F456" s="908"/>
      <c r="G456" s="908"/>
      <c r="H456" s="908"/>
      <c r="I456" s="908"/>
      <c r="J456" s="908"/>
      <c r="K456" s="900"/>
      <c r="L456" s="900"/>
    </row>
    <row r="457" spans="1:12" ht="15.75" customHeight="1">
      <c r="A457" s="908"/>
      <c r="B457" s="908"/>
      <c r="C457" s="908"/>
      <c r="D457" s="908"/>
      <c r="E457" s="908"/>
      <c r="F457" s="908"/>
      <c r="G457" s="908"/>
      <c r="H457" s="908"/>
      <c r="I457" s="908"/>
      <c r="J457" s="908"/>
      <c r="K457" s="900"/>
      <c r="L457" s="900"/>
    </row>
    <row r="458" spans="1:12" ht="15.75" customHeight="1">
      <c r="A458" s="908"/>
      <c r="B458" s="908"/>
      <c r="C458" s="908"/>
      <c r="D458" s="908"/>
      <c r="E458" s="908"/>
      <c r="F458" s="908"/>
      <c r="G458" s="908"/>
      <c r="H458" s="908"/>
      <c r="I458" s="908"/>
      <c r="J458" s="908"/>
      <c r="K458" s="900"/>
      <c r="L458" s="900"/>
    </row>
    <row r="459" spans="1:12" ht="15.75" customHeight="1">
      <c r="A459" s="908"/>
      <c r="B459" s="908"/>
      <c r="C459" s="908"/>
      <c r="D459" s="908"/>
      <c r="E459" s="908"/>
      <c r="F459" s="908"/>
      <c r="G459" s="908"/>
      <c r="H459" s="908"/>
      <c r="I459" s="908"/>
      <c r="J459" s="908"/>
      <c r="K459" s="900"/>
      <c r="L459" s="900"/>
    </row>
    <row r="460" spans="1:12" ht="15.75" customHeight="1">
      <c r="A460" s="908"/>
      <c r="B460" s="908"/>
      <c r="C460" s="908"/>
      <c r="D460" s="908"/>
      <c r="E460" s="908"/>
      <c r="F460" s="908"/>
      <c r="G460" s="908"/>
      <c r="H460" s="908"/>
      <c r="I460" s="908"/>
      <c r="J460" s="908"/>
      <c r="K460" s="900"/>
      <c r="L460" s="900"/>
    </row>
    <row r="461" spans="1:12" ht="15.75" customHeight="1">
      <c r="A461" s="908"/>
      <c r="B461" s="908"/>
      <c r="C461" s="908"/>
      <c r="D461" s="908"/>
      <c r="E461" s="908"/>
      <c r="F461" s="908"/>
      <c r="G461" s="908"/>
      <c r="H461" s="908"/>
      <c r="I461" s="908"/>
      <c r="J461" s="908"/>
      <c r="K461" s="900"/>
      <c r="L461" s="900"/>
    </row>
    <row r="462" spans="1:12" ht="15.75" customHeight="1">
      <c r="A462" s="908"/>
      <c r="B462" s="908"/>
      <c r="C462" s="908"/>
      <c r="D462" s="908"/>
      <c r="E462" s="908"/>
      <c r="F462" s="908"/>
      <c r="G462" s="908"/>
      <c r="H462" s="908"/>
      <c r="I462" s="908"/>
      <c r="J462" s="908"/>
      <c r="K462" s="900"/>
      <c r="L462" s="900"/>
    </row>
    <row r="463" spans="1:12" ht="15.75" customHeight="1">
      <c r="A463" s="908"/>
      <c r="B463" s="908"/>
      <c r="C463" s="908"/>
      <c r="D463" s="908"/>
      <c r="E463" s="908"/>
      <c r="F463" s="908"/>
      <c r="G463" s="908"/>
      <c r="H463" s="908"/>
      <c r="I463" s="908"/>
      <c r="J463" s="908"/>
      <c r="K463" s="900"/>
      <c r="L463" s="900"/>
    </row>
    <row r="464" spans="1:12" ht="15.75" customHeight="1">
      <c r="A464" s="908"/>
      <c r="B464" s="908"/>
      <c r="C464" s="908"/>
      <c r="D464" s="908"/>
      <c r="E464" s="908"/>
      <c r="F464" s="908"/>
      <c r="G464" s="908"/>
      <c r="H464" s="908"/>
      <c r="I464" s="908"/>
      <c r="J464" s="908"/>
      <c r="K464" s="900"/>
      <c r="L464" s="900"/>
    </row>
    <row r="465" spans="1:12" ht="15.75" customHeight="1">
      <c r="A465" s="908"/>
      <c r="B465" s="908"/>
      <c r="C465" s="908"/>
      <c r="D465" s="908"/>
      <c r="E465" s="908"/>
      <c r="F465" s="908"/>
      <c r="G465" s="908"/>
      <c r="H465" s="908"/>
      <c r="I465" s="908"/>
      <c r="J465" s="908"/>
      <c r="K465" s="900"/>
      <c r="L465" s="900"/>
    </row>
    <row r="466" spans="1:12" ht="15.75" customHeight="1">
      <c r="A466" s="908"/>
      <c r="B466" s="908"/>
      <c r="C466" s="908"/>
      <c r="D466" s="908"/>
      <c r="E466" s="908"/>
      <c r="F466" s="908"/>
      <c r="G466" s="908"/>
      <c r="H466" s="908"/>
      <c r="I466" s="908"/>
      <c r="J466" s="908"/>
      <c r="K466" s="900"/>
      <c r="L466" s="900"/>
    </row>
    <row r="467" spans="1:12" ht="15.75" customHeight="1">
      <c r="A467" s="908"/>
      <c r="B467" s="908"/>
      <c r="C467" s="908"/>
      <c r="D467" s="908"/>
      <c r="E467" s="908"/>
      <c r="F467" s="908"/>
      <c r="G467" s="908"/>
      <c r="H467" s="908"/>
      <c r="I467" s="908"/>
      <c r="J467" s="908"/>
      <c r="K467" s="900"/>
      <c r="L467" s="900"/>
    </row>
    <row r="468" spans="1:12" ht="15.75" customHeight="1">
      <c r="A468" s="908"/>
      <c r="B468" s="908"/>
      <c r="C468" s="908"/>
      <c r="D468" s="908"/>
      <c r="E468" s="908"/>
      <c r="F468" s="908"/>
      <c r="G468" s="908"/>
      <c r="H468" s="908"/>
      <c r="I468" s="908"/>
      <c r="J468" s="908"/>
      <c r="K468" s="900"/>
      <c r="L468" s="900"/>
    </row>
    <row r="469" spans="1:12" ht="15.75" customHeight="1">
      <c r="A469" s="908"/>
      <c r="B469" s="908"/>
      <c r="C469" s="908"/>
      <c r="D469" s="908"/>
      <c r="E469" s="908"/>
      <c r="F469" s="908"/>
      <c r="G469" s="908"/>
      <c r="H469" s="908"/>
      <c r="I469" s="908"/>
      <c r="J469" s="908"/>
      <c r="K469" s="900"/>
      <c r="L469" s="900"/>
    </row>
    <row r="470" spans="1:12" ht="15.75" customHeight="1">
      <c r="A470" s="908"/>
      <c r="B470" s="908"/>
      <c r="C470" s="908"/>
      <c r="D470" s="908"/>
      <c r="E470" s="908"/>
      <c r="F470" s="908"/>
      <c r="G470" s="908"/>
      <c r="H470" s="908"/>
      <c r="I470" s="908"/>
      <c r="J470" s="908"/>
      <c r="K470" s="900"/>
      <c r="L470" s="900"/>
    </row>
    <row r="471" spans="1:12" ht="15.75" customHeight="1">
      <c r="A471" s="908"/>
      <c r="B471" s="908"/>
      <c r="C471" s="908"/>
      <c r="D471" s="908"/>
      <c r="E471" s="908"/>
      <c r="F471" s="908"/>
      <c r="G471" s="908"/>
      <c r="H471" s="908"/>
      <c r="I471" s="908"/>
      <c r="J471" s="908"/>
      <c r="K471" s="900"/>
      <c r="L471" s="900"/>
    </row>
    <row r="472" spans="1:12" ht="15.75" customHeight="1">
      <c r="A472" s="908"/>
      <c r="B472" s="908"/>
      <c r="C472" s="908"/>
      <c r="D472" s="908"/>
      <c r="E472" s="908"/>
      <c r="F472" s="908"/>
      <c r="G472" s="908"/>
      <c r="H472" s="908"/>
      <c r="I472" s="908"/>
      <c r="J472" s="908"/>
      <c r="K472" s="900"/>
      <c r="L472" s="900"/>
    </row>
    <row r="473" spans="1:12" ht="15.75" customHeight="1">
      <c r="A473" s="908"/>
      <c r="B473" s="908"/>
      <c r="C473" s="908"/>
      <c r="D473" s="908"/>
      <c r="E473" s="908"/>
      <c r="F473" s="908"/>
      <c r="G473" s="908"/>
      <c r="H473" s="908"/>
      <c r="I473" s="908"/>
      <c r="J473" s="908"/>
      <c r="K473" s="900"/>
      <c r="L473" s="900"/>
    </row>
    <row r="474" spans="1:12" ht="15.75" customHeight="1">
      <c r="A474" s="908"/>
      <c r="B474" s="908"/>
      <c r="C474" s="908"/>
      <c r="D474" s="908"/>
      <c r="E474" s="908"/>
      <c r="F474" s="908"/>
      <c r="G474" s="908"/>
      <c r="H474" s="908"/>
      <c r="I474" s="908"/>
      <c r="J474" s="908"/>
      <c r="K474" s="900"/>
      <c r="L474" s="900"/>
    </row>
    <row r="475" spans="1:12" ht="15.75" customHeight="1">
      <c r="A475" s="908"/>
      <c r="B475" s="908"/>
      <c r="C475" s="908"/>
      <c r="D475" s="908"/>
      <c r="E475" s="908"/>
      <c r="F475" s="908"/>
      <c r="G475" s="908"/>
      <c r="H475" s="908"/>
      <c r="I475" s="908"/>
      <c r="J475" s="908"/>
      <c r="K475" s="900"/>
      <c r="L475" s="900"/>
    </row>
    <row r="476" spans="1:12" ht="15.75" customHeight="1">
      <c r="A476" s="908"/>
      <c r="B476" s="908"/>
      <c r="C476" s="908"/>
      <c r="D476" s="908"/>
      <c r="E476" s="908"/>
      <c r="F476" s="908"/>
      <c r="G476" s="908"/>
      <c r="H476" s="908"/>
      <c r="I476" s="908"/>
      <c r="J476" s="908"/>
      <c r="K476" s="900"/>
      <c r="L476" s="900"/>
    </row>
    <row r="477" spans="1:12" ht="15.75" customHeight="1">
      <c r="A477" s="908"/>
      <c r="B477" s="908"/>
      <c r="C477" s="908"/>
      <c r="D477" s="908"/>
      <c r="E477" s="908"/>
      <c r="F477" s="908"/>
      <c r="G477" s="908"/>
      <c r="H477" s="908"/>
      <c r="I477" s="908"/>
      <c r="J477" s="908"/>
      <c r="K477" s="900"/>
      <c r="L477" s="900"/>
    </row>
    <row r="478" spans="1:12" ht="15.75" customHeight="1">
      <c r="A478" s="908"/>
      <c r="B478" s="908"/>
      <c r="C478" s="908"/>
      <c r="D478" s="908"/>
      <c r="E478" s="908"/>
      <c r="F478" s="908"/>
      <c r="G478" s="908"/>
      <c r="H478" s="908"/>
      <c r="I478" s="908"/>
      <c r="J478" s="908"/>
      <c r="K478" s="900"/>
      <c r="L478" s="900"/>
    </row>
    <row r="479" spans="1:12" ht="15.75" customHeight="1">
      <c r="A479" s="908"/>
      <c r="B479" s="908"/>
      <c r="C479" s="908"/>
      <c r="D479" s="908"/>
      <c r="E479" s="908"/>
      <c r="F479" s="908"/>
      <c r="G479" s="908"/>
      <c r="H479" s="908"/>
      <c r="I479" s="908"/>
      <c r="J479" s="908"/>
      <c r="K479" s="900"/>
      <c r="L479" s="900"/>
    </row>
    <row r="480" spans="1:12" ht="15.75" customHeight="1">
      <c r="A480" s="908"/>
      <c r="B480" s="908"/>
      <c r="C480" s="908"/>
      <c r="D480" s="908"/>
      <c r="E480" s="908"/>
      <c r="F480" s="908"/>
      <c r="G480" s="908"/>
      <c r="H480" s="908"/>
      <c r="I480" s="908"/>
      <c r="J480" s="908"/>
      <c r="K480" s="900"/>
      <c r="L480" s="900"/>
    </row>
    <row r="481" spans="1:12" ht="15.75" customHeight="1">
      <c r="A481" s="908"/>
      <c r="B481" s="908"/>
      <c r="C481" s="908"/>
      <c r="D481" s="908"/>
      <c r="E481" s="908"/>
      <c r="F481" s="908"/>
      <c r="G481" s="908"/>
      <c r="H481" s="908"/>
      <c r="I481" s="908"/>
      <c r="J481" s="908"/>
      <c r="K481" s="900"/>
      <c r="L481" s="900"/>
    </row>
    <row r="482" spans="1:12" ht="15.75" customHeight="1">
      <c r="A482" s="908"/>
      <c r="B482" s="908"/>
      <c r="C482" s="908"/>
      <c r="D482" s="908"/>
      <c r="E482" s="908"/>
      <c r="F482" s="908"/>
      <c r="G482" s="908"/>
      <c r="H482" s="908"/>
      <c r="I482" s="908"/>
      <c r="J482" s="908"/>
      <c r="K482" s="900"/>
      <c r="L482" s="900"/>
    </row>
    <row r="483" spans="1:12" ht="15.75" customHeight="1">
      <c r="A483" s="908"/>
      <c r="B483" s="908"/>
      <c r="C483" s="908"/>
      <c r="D483" s="908"/>
      <c r="E483" s="908"/>
      <c r="F483" s="908"/>
      <c r="G483" s="908"/>
      <c r="H483" s="908"/>
      <c r="I483" s="908"/>
      <c r="J483" s="908"/>
      <c r="K483" s="900"/>
      <c r="L483" s="900"/>
    </row>
    <row r="484" spans="1:12" ht="15.75" customHeight="1">
      <c r="A484" s="908"/>
      <c r="B484" s="908"/>
      <c r="C484" s="908"/>
      <c r="D484" s="908"/>
      <c r="E484" s="908"/>
      <c r="F484" s="908"/>
      <c r="G484" s="908"/>
      <c r="H484" s="908"/>
      <c r="I484" s="908"/>
      <c r="J484" s="908"/>
      <c r="K484" s="900"/>
      <c r="L484" s="900"/>
    </row>
    <row r="485" spans="1:12" ht="15.75" customHeight="1">
      <c r="A485" s="908"/>
      <c r="B485" s="908"/>
      <c r="C485" s="908"/>
      <c r="D485" s="908"/>
      <c r="E485" s="908"/>
      <c r="F485" s="908"/>
      <c r="G485" s="908"/>
      <c r="H485" s="908"/>
      <c r="I485" s="908"/>
      <c r="J485" s="908"/>
      <c r="K485" s="900"/>
      <c r="L485" s="900"/>
    </row>
    <row r="486" spans="1:12" ht="15.75" customHeight="1">
      <c r="A486" s="908"/>
      <c r="B486" s="908"/>
      <c r="C486" s="908"/>
      <c r="D486" s="908"/>
      <c r="E486" s="908"/>
      <c r="F486" s="908"/>
      <c r="G486" s="908"/>
      <c r="H486" s="908"/>
      <c r="I486" s="908"/>
      <c r="J486" s="908"/>
      <c r="K486" s="900"/>
      <c r="L486" s="900"/>
    </row>
    <row r="487" spans="1:12" ht="15.75" customHeight="1">
      <c r="A487" s="908"/>
      <c r="B487" s="908"/>
      <c r="C487" s="908"/>
      <c r="D487" s="908"/>
      <c r="E487" s="908"/>
      <c r="F487" s="908"/>
      <c r="G487" s="908"/>
      <c r="H487" s="908"/>
      <c r="I487" s="908"/>
      <c r="J487" s="908"/>
      <c r="K487" s="900"/>
      <c r="L487" s="900"/>
    </row>
    <row r="488" spans="1:12" ht="15.75" customHeight="1">
      <c r="A488" s="908"/>
      <c r="B488" s="908"/>
      <c r="C488" s="908"/>
      <c r="D488" s="908"/>
      <c r="E488" s="908"/>
      <c r="F488" s="908"/>
      <c r="G488" s="908"/>
      <c r="H488" s="908"/>
      <c r="I488" s="908"/>
      <c r="J488" s="908"/>
      <c r="K488" s="900"/>
      <c r="L488" s="900"/>
    </row>
    <row r="489" spans="1:12" ht="15.75" customHeight="1">
      <c r="A489" s="908"/>
      <c r="B489" s="908"/>
      <c r="C489" s="908"/>
      <c r="D489" s="908"/>
      <c r="E489" s="908"/>
      <c r="F489" s="908"/>
      <c r="G489" s="908"/>
      <c r="H489" s="908"/>
      <c r="I489" s="908"/>
      <c r="J489" s="908"/>
      <c r="K489" s="900"/>
      <c r="L489" s="900"/>
    </row>
    <row r="490" spans="1:12" ht="15.75" customHeight="1">
      <c r="A490" s="908"/>
      <c r="B490" s="908"/>
      <c r="C490" s="908"/>
      <c r="D490" s="908"/>
      <c r="E490" s="908"/>
      <c r="F490" s="908"/>
      <c r="G490" s="908"/>
      <c r="H490" s="908"/>
      <c r="I490" s="908"/>
      <c r="J490" s="908"/>
      <c r="K490" s="900"/>
      <c r="L490" s="900"/>
    </row>
    <row r="491" spans="1:12" ht="15.75" customHeight="1">
      <c r="A491" s="908"/>
      <c r="B491" s="908"/>
      <c r="C491" s="908"/>
      <c r="D491" s="908"/>
      <c r="E491" s="908"/>
      <c r="F491" s="908"/>
      <c r="G491" s="908"/>
      <c r="H491" s="908"/>
      <c r="I491" s="908"/>
      <c r="J491" s="908"/>
      <c r="K491" s="900"/>
      <c r="L491" s="900"/>
    </row>
    <row r="492" spans="1:12" ht="15.75" customHeight="1">
      <c r="A492" s="908"/>
      <c r="B492" s="908"/>
      <c r="C492" s="908"/>
      <c r="D492" s="908"/>
      <c r="E492" s="908"/>
      <c r="F492" s="908"/>
      <c r="G492" s="908"/>
      <c r="H492" s="908"/>
      <c r="I492" s="908"/>
      <c r="J492" s="908"/>
      <c r="K492" s="900"/>
      <c r="L492" s="900"/>
    </row>
    <row r="493" spans="1:12" ht="15.75" customHeight="1">
      <c r="A493" s="908"/>
      <c r="B493" s="908"/>
      <c r="C493" s="908"/>
      <c r="D493" s="908"/>
      <c r="E493" s="908"/>
      <c r="F493" s="908"/>
      <c r="G493" s="908"/>
      <c r="H493" s="908"/>
      <c r="I493" s="908"/>
      <c r="J493" s="908"/>
      <c r="K493" s="900"/>
      <c r="L493" s="900"/>
    </row>
    <row r="494" spans="1:12" ht="15.75" customHeight="1">
      <c r="A494" s="908"/>
      <c r="B494" s="908"/>
      <c r="C494" s="908"/>
      <c r="D494" s="908"/>
      <c r="E494" s="908"/>
      <c r="F494" s="908"/>
      <c r="G494" s="908"/>
      <c r="H494" s="908"/>
      <c r="I494" s="908"/>
      <c r="J494" s="908"/>
      <c r="K494" s="900"/>
      <c r="L494" s="900"/>
    </row>
    <row r="495" spans="1:12" ht="15.75" customHeight="1">
      <c r="A495" s="908"/>
      <c r="B495" s="908"/>
      <c r="C495" s="908"/>
      <c r="D495" s="908"/>
      <c r="E495" s="908"/>
      <c r="F495" s="908"/>
      <c r="G495" s="908"/>
      <c r="H495" s="908"/>
      <c r="I495" s="908"/>
      <c r="J495" s="908"/>
      <c r="K495" s="900"/>
      <c r="L495" s="900"/>
    </row>
    <row r="496" spans="1:12" ht="15.75" customHeight="1">
      <c r="A496" s="908"/>
      <c r="B496" s="908"/>
      <c r="C496" s="908"/>
      <c r="D496" s="908"/>
      <c r="E496" s="908"/>
      <c r="F496" s="908"/>
      <c r="G496" s="908"/>
      <c r="H496" s="908"/>
      <c r="I496" s="908"/>
      <c r="J496" s="908"/>
      <c r="K496" s="900"/>
      <c r="L496" s="900"/>
    </row>
    <row r="497" spans="1:12" ht="15.75" customHeight="1">
      <c r="A497" s="908"/>
      <c r="B497" s="908"/>
      <c r="C497" s="908"/>
      <c r="D497" s="908"/>
      <c r="E497" s="908"/>
      <c r="F497" s="908"/>
      <c r="G497" s="908"/>
      <c r="H497" s="908"/>
      <c r="I497" s="908"/>
      <c r="J497" s="908"/>
      <c r="K497" s="900"/>
      <c r="L497" s="900"/>
    </row>
    <row r="498" spans="1:12" ht="15.75" customHeight="1">
      <c r="A498" s="908"/>
      <c r="B498" s="908"/>
      <c r="C498" s="908"/>
      <c r="D498" s="908"/>
      <c r="E498" s="908"/>
      <c r="F498" s="908"/>
      <c r="G498" s="908"/>
      <c r="H498" s="908"/>
      <c r="I498" s="908"/>
      <c r="J498" s="908"/>
      <c r="K498" s="900"/>
      <c r="L498" s="900"/>
    </row>
    <row r="499" spans="1:12" ht="15.75" customHeight="1">
      <c r="A499" s="908"/>
      <c r="B499" s="908"/>
      <c r="C499" s="908"/>
      <c r="D499" s="908"/>
      <c r="E499" s="908"/>
      <c r="F499" s="908"/>
      <c r="G499" s="908"/>
      <c r="H499" s="908"/>
      <c r="I499" s="908"/>
      <c r="J499" s="908"/>
      <c r="K499" s="900"/>
      <c r="L499" s="900"/>
    </row>
    <row r="500" spans="1:12" ht="15.75" customHeight="1">
      <c r="A500" s="908"/>
      <c r="B500" s="908"/>
      <c r="C500" s="908"/>
      <c r="D500" s="908"/>
      <c r="E500" s="908"/>
      <c r="F500" s="908"/>
      <c r="G500" s="908"/>
      <c r="H500" s="908"/>
      <c r="I500" s="908"/>
      <c r="J500" s="908"/>
      <c r="K500" s="900"/>
      <c r="L500" s="900"/>
    </row>
    <row r="501" spans="1:12" ht="15.75" customHeight="1">
      <c r="A501" s="908"/>
      <c r="B501" s="908"/>
      <c r="C501" s="908"/>
      <c r="D501" s="908"/>
      <c r="E501" s="908"/>
      <c r="F501" s="908"/>
      <c r="G501" s="908"/>
      <c r="H501" s="908"/>
      <c r="I501" s="908"/>
      <c r="J501" s="908"/>
      <c r="K501" s="900"/>
      <c r="L501" s="900"/>
    </row>
    <row r="502" spans="1:12" ht="15.75" customHeight="1">
      <c r="A502" s="908"/>
      <c r="B502" s="908"/>
      <c r="C502" s="908"/>
      <c r="D502" s="908"/>
      <c r="E502" s="908"/>
      <c r="F502" s="908"/>
      <c r="G502" s="908"/>
      <c r="H502" s="908"/>
      <c r="I502" s="908"/>
      <c r="J502" s="908"/>
      <c r="K502" s="900"/>
      <c r="L502" s="900"/>
    </row>
    <row r="503" spans="1:12" ht="15.75" customHeight="1">
      <c r="A503" s="908"/>
      <c r="B503" s="908"/>
      <c r="C503" s="908"/>
      <c r="D503" s="908"/>
      <c r="E503" s="908"/>
      <c r="F503" s="908"/>
      <c r="G503" s="908"/>
      <c r="H503" s="908"/>
      <c r="I503" s="908"/>
      <c r="J503" s="908"/>
      <c r="K503" s="900"/>
      <c r="L503" s="900"/>
    </row>
    <row r="504" spans="1:12" ht="15.75" customHeight="1">
      <c r="A504" s="908"/>
      <c r="B504" s="908"/>
      <c r="C504" s="908"/>
      <c r="D504" s="908"/>
      <c r="E504" s="908"/>
      <c r="F504" s="908"/>
      <c r="G504" s="908"/>
      <c r="H504" s="908"/>
      <c r="I504" s="908"/>
      <c r="J504" s="908"/>
      <c r="K504" s="900"/>
      <c r="L504" s="900"/>
    </row>
    <row r="505" spans="1:12" ht="15.75" customHeight="1">
      <c r="A505" s="908"/>
      <c r="B505" s="908"/>
      <c r="C505" s="908"/>
      <c r="D505" s="908"/>
      <c r="E505" s="908"/>
      <c r="F505" s="908"/>
      <c r="G505" s="908"/>
      <c r="H505" s="908"/>
      <c r="I505" s="908"/>
      <c r="J505" s="908"/>
      <c r="K505" s="900"/>
      <c r="L505" s="900"/>
    </row>
    <row r="506" spans="1:12" ht="15.75" customHeight="1">
      <c r="A506" s="908"/>
      <c r="B506" s="908"/>
      <c r="C506" s="908"/>
      <c r="D506" s="908"/>
      <c r="E506" s="908"/>
      <c r="F506" s="908"/>
      <c r="G506" s="908"/>
      <c r="H506" s="908"/>
      <c r="I506" s="908"/>
      <c r="J506" s="908"/>
      <c r="K506" s="900"/>
      <c r="L506" s="900"/>
    </row>
    <row r="507" spans="1:12" ht="15.75" customHeight="1">
      <c r="A507" s="908"/>
      <c r="B507" s="908"/>
      <c r="C507" s="908"/>
      <c r="D507" s="908"/>
      <c r="E507" s="908"/>
      <c r="F507" s="908"/>
      <c r="G507" s="908"/>
      <c r="H507" s="908"/>
      <c r="I507" s="908"/>
      <c r="J507" s="908"/>
      <c r="K507" s="900"/>
      <c r="L507" s="900"/>
    </row>
    <row r="508" spans="1:12" ht="15.75" customHeight="1">
      <c r="A508" s="908"/>
      <c r="B508" s="908"/>
      <c r="C508" s="908"/>
      <c r="D508" s="908"/>
      <c r="E508" s="908"/>
      <c r="F508" s="908"/>
      <c r="G508" s="908"/>
      <c r="H508" s="908"/>
      <c r="I508" s="908"/>
      <c r="J508" s="908"/>
      <c r="K508" s="900"/>
      <c r="L508" s="900"/>
    </row>
    <row r="509" spans="1:12" ht="15.75" customHeight="1">
      <c r="A509" s="908"/>
      <c r="B509" s="908"/>
      <c r="C509" s="908"/>
      <c r="D509" s="908"/>
      <c r="E509" s="908"/>
      <c r="F509" s="908"/>
      <c r="G509" s="908"/>
      <c r="H509" s="908"/>
      <c r="I509" s="908"/>
      <c r="J509" s="908"/>
      <c r="K509" s="900"/>
      <c r="L509" s="900"/>
    </row>
    <row r="510" spans="1:12" ht="15.75" customHeight="1">
      <c r="A510" s="908"/>
      <c r="B510" s="908"/>
      <c r="C510" s="908"/>
      <c r="D510" s="908"/>
      <c r="E510" s="908"/>
      <c r="F510" s="908"/>
      <c r="G510" s="908"/>
      <c r="H510" s="908"/>
      <c r="I510" s="908"/>
      <c r="J510" s="908"/>
      <c r="K510" s="900"/>
      <c r="L510" s="900"/>
    </row>
    <row r="511" spans="1:12" ht="15.75" customHeight="1">
      <c r="A511" s="908"/>
      <c r="B511" s="908"/>
      <c r="C511" s="908"/>
      <c r="D511" s="908"/>
      <c r="E511" s="908"/>
      <c r="F511" s="908"/>
      <c r="G511" s="908"/>
      <c r="H511" s="908"/>
      <c r="I511" s="908"/>
      <c r="J511" s="908"/>
      <c r="K511" s="900"/>
      <c r="L511" s="900"/>
    </row>
    <row r="512" spans="1:12" ht="15.75" customHeight="1">
      <c r="A512" s="908"/>
      <c r="B512" s="908"/>
      <c r="C512" s="908"/>
      <c r="D512" s="908"/>
      <c r="E512" s="908"/>
      <c r="F512" s="908"/>
      <c r="G512" s="908"/>
      <c r="H512" s="908"/>
      <c r="I512" s="908"/>
      <c r="J512" s="908"/>
      <c r="K512" s="900"/>
      <c r="L512" s="900"/>
    </row>
    <row r="513" spans="1:12" ht="15.75" customHeight="1">
      <c r="A513" s="908"/>
      <c r="B513" s="908"/>
      <c r="C513" s="908"/>
      <c r="D513" s="908"/>
      <c r="E513" s="908"/>
      <c r="F513" s="908"/>
      <c r="G513" s="908"/>
      <c r="H513" s="908"/>
      <c r="I513" s="908"/>
      <c r="J513" s="908"/>
      <c r="K513" s="900"/>
      <c r="L513" s="900"/>
    </row>
    <row r="514" spans="1:12" ht="15.75" customHeight="1">
      <c r="A514" s="908"/>
      <c r="B514" s="908"/>
      <c r="C514" s="908"/>
      <c r="D514" s="908"/>
      <c r="E514" s="908"/>
      <c r="F514" s="908"/>
      <c r="G514" s="908"/>
      <c r="H514" s="908"/>
      <c r="I514" s="908"/>
      <c r="J514" s="908"/>
      <c r="K514" s="900"/>
      <c r="L514" s="900"/>
    </row>
    <row r="515" spans="1:12" ht="15.75" customHeight="1">
      <c r="A515" s="908"/>
      <c r="B515" s="908"/>
      <c r="C515" s="908"/>
      <c r="D515" s="908"/>
      <c r="E515" s="908"/>
      <c r="F515" s="908"/>
      <c r="G515" s="908"/>
      <c r="H515" s="908"/>
      <c r="I515" s="908"/>
      <c r="J515" s="908"/>
      <c r="K515" s="900"/>
      <c r="L515" s="900"/>
    </row>
    <row r="516" spans="1:12" ht="15.75" customHeight="1">
      <c r="A516" s="908"/>
      <c r="B516" s="908"/>
      <c r="C516" s="908"/>
      <c r="D516" s="908"/>
      <c r="E516" s="908"/>
      <c r="F516" s="908"/>
      <c r="G516" s="908"/>
      <c r="H516" s="908"/>
      <c r="I516" s="908"/>
      <c r="J516" s="908"/>
      <c r="K516" s="900"/>
      <c r="L516" s="900"/>
    </row>
    <row r="517" spans="1:12" ht="15.75" customHeight="1">
      <c r="A517" s="908"/>
      <c r="B517" s="908"/>
      <c r="C517" s="908"/>
      <c r="D517" s="908"/>
      <c r="E517" s="908"/>
      <c r="F517" s="908"/>
      <c r="G517" s="908"/>
      <c r="H517" s="908"/>
      <c r="I517" s="908"/>
      <c r="J517" s="908"/>
      <c r="K517" s="900"/>
      <c r="L517" s="900"/>
    </row>
    <row r="518" spans="1:12" ht="15.75" customHeight="1">
      <c r="A518" s="908"/>
      <c r="B518" s="908"/>
      <c r="C518" s="908"/>
      <c r="D518" s="908"/>
      <c r="E518" s="908"/>
      <c r="F518" s="908"/>
      <c r="G518" s="908"/>
      <c r="H518" s="908"/>
      <c r="I518" s="908"/>
      <c r="J518" s="908"/>
      <c r="K518" s="900"/>
      <c r="L518" s="900"/>
    </row>
    <row r="519" spans="1:12" ht="15.75" customHeight="1">
      <c r="A519" s="908"/>
      <c r="B519" s="908"/>
      <c r="C519" s="908"/>
      <c r="D519" s="908"/>
      <c r="E519" s="908"/>
      <c r="F519" s="908"/>
      <c r="G519" s="908"/>
      <c r="H519" s="908"/>
      <c r="I519" s="908"/>
      <c r="J519" s="908"/>
      <c r="K519" s="900"/>
      <c r="L519" s="900"/>
    </row>
    <row r="520" spans="1:12" ht="15.75" customHeight="1">
      <c r="A520" s="908"/>
      <c r="B520" s="908"/>
      <c r="C520" s="908"/>
      <c r="D520" s="908"/>
      <c r="E520" s="908"/>
      <c r="F520" s="908"/>
      <c r="G520" s="908"/>
      <c r="H520" s="908"/>
      <c r="I520" s="908"/>
      <c r="J520" s="908"/>
      <c r="K520" s="900"/>
      <c r="L520" s="900"/>
    </row>
    <row r="521" spans="1:12" ht="15.75" customHeight="1">
      <c r="A521" s="908"/>
      <c r="B521" s="908"/>
      <c r="C521" s="908"/>
      <c r="D521" s="908"/>
      <c r="E521" s="908"/>
      <c r="F521" s="908"/>
      <c r="G521" s="908"/>
      <c r="H521" s="908"/>
      <c r="I521" s="908"/>
      <c r="J521" s="908"/>
      <c r="K521" s="900"/>
      <c r="L521" s="900"/>
    </row>
    <row r="522" spans="1:12" ht="15.75" customHeight="1">
      <c r="A522" s="908"/>
      <c r="B522" s="908"/>
      <c r="C522" s="908"/>
      <c r="D522" s="908"/>
      <c r="E522" s="908"/>
      <c r="F522" s="908"/>
      <c r="G522" s="908"/>
      <c r="H522" s="908"/>
      <c r="I522" s="908"/>
      <c r="J522" s="908"/>
      <c r="K522" s="900"/>
      <c r="L522" s="900"/>
    </row>
    <row r="523" spans="1:12" ht="15.75" customHeight="1">
      <c r="A523" s="908"/>
      <c r="B523" s="908"/>
      <c r="C523" s="908"/>
      <c r="D523" s="908"/>
      <c r="E523" s="908"/>
      <c r="F523" s="908"/>
      <c r="G523" s="908"/>
      <c r="H523" s="908"/>
      <c r="I523" s="908"/>
      <c r="J523" s="908"/>
      <c r="K523" s="900"/>
      <c r="L523" s="900"/>
    </row>
    <row r="524" spans="1:12" ht="15.75" customHeight="1">
      <c r="A524" s="908"/>
      <c r="B524" s="908"/>
      <c r="C524" s="908"/>
      <c r="D524" s="908"/>
      <c r="E524" s="908"/>
      <c r="F524" s="908"/>
      <c r="G524" s="908"/>
      <c r="H524" s="908"/>
      <c r="I524" s="908"/>
      <c r="J524" s="908"/>
      <c r="K524" s="900"/>
      <c r="L524" s="900"/>
    </row>
    <row r="525" spans="1:12" ht="15.75" customHeight="1">
      <c r="A525" s="908"/>
      <c r="B525" s="908"/>
      <c r="C525" s="908"/>
      <c r="D525" s="908"/>
      <c r="E525" s="908"/>
      <c r="F525" s="908"/>
      <c r="G525" s="908"/>
      <c r="H525" s="908"/>
      <c r="I525" s="908"/>
      <c r="J525" s="908"/>
      <c r="K525" s="900"/>
      <c r="L525" s="900"/>
    </row>
    <row r="526" spans="1:12" ht="15.75" customHeight="1">
      <c r="A526" s="908"/>
      <c r="B526" s="908"/>
      <c r="C526" s="908"/>
      <c r="D526" s="908"/>
      <c r="E526" s="908"/>
      <c r="F526" s="908"/>
      <c r="G526" s="908"/>
      <c r="H526" s="908"/>
      <c r="I526" s="908"/>
      <c r="J526" s="908"/>
      <c r="K526" s="900"/>
      <c r="L526" s="900"/>
    </row>
    <row r="527" spans="1:12" ht="15.75" customHeight="1">
      <c r="A527" s="908"/>
      <c r="B527" s="908"/>
      <c r="C527" s="908"/>
      <c r="D527" s="908"/>
      <c r="E527" s="908"/>
      <c r="F527" s="908"/>
      <c r="G527" s="908"/>
      <c r="H527" s="908"/>
      <c r="I527" s="908"/>
      <c r="J527" s="908"/>
      <c r="K527" s="900"/>
      <c r="L527" s="900"/>
    </row>
    <row r="528" spans="1:12" ht="15.75" customHeight="1">
      <c r="A528" s="908"/>
      <c r="B528" s="908"/>
      <c r="C528" s="908"/>
      <c r="D528" s="908"/>
      <c r="E528" s="908"/>
      <c r="F528" s="908"/>
      <c r="G528" s="908"/>
      <c r="H528" s="908"/>
      <c r="I528" s="908"/>
      <c r="J528" s="908"/>
      <c r="K528" s="900"/>
      <c r="L528" s="900"/>
    </row>
    <row r="529" spans="1:12" ht="15.75" customHeight="1">
      <c r="A529" s="908"/>
      <c r="B529" s="908"/>
      <c r="C529" s="908"/>
      <c r="D529" s="908"/>
      <c r="E529" s="908"/>
      <c r="F529" s="908"/>
      <c r="G529" s="908"/>
      <c r="H529" s="908"/>
      <c r="I529" s="908"/>
      <c r="J529" s="908"/>
      <c r="K529" s="900"/>
      <c r="L529" s="900"/>
    </row>
    <row r="530" spans="1:12" ht="15.75" customHeight="1">
      <c r="A530" s="908"/>
      <c r="B530" s="908"/>
      <c r="C530" s="908"/>
      <c r="D530" s="908"/>
      <c r="E530" s="908"/>
      <c r="F530" s="908"/>
      <c r="G530" s="908"/>
      <c r="H530" s="908"/>
      <c r="I530" s="908"/>
      <c r="J530" s="908"/>
      <c r="K530" s="900"/>
      <c r="L530" s="900"/>
    </row>
    <row r="531" spans="1:12" ht="15.75" customHeight="1">
      <c r="A531" s="908"/>
      <c r="B531" s="908"/>
      <c r="C531" s="908"/>
      <c r="D531" s="908"/>
      <c r="E531" s="908"/>
      <c r="F531" s="908"/>
      <c r="G531" s="908"/>
      <c r="H531" s="908"/>
      <c r="I531" s="908"/>
      <c r="J531" s="908"/>
      <c r="K531" s="900"/>
      <c r="L531" s="900"/>
    </row>
    <row r="532" spans="1:12" ht="15.75" customHeight="1">
      <c r="A532" s="908"/>
      <c r="B532" s="908"/>
      <c r="C532" s="908"/>
      <c r="D532" s="908"/>
      <c r="E532" s="908"/>
      <c r="F532" s="908"/>
      <c r="G532" s="908"/>
      <c r="H532" s="908"/>
      <c r="I532" s="908"/>
      <c r="J532" s="908"/>
      <c r="K532" s="900"/>
      <c r="L532" s="900"/>
    </row>
    <row r="533" spans="1:12" ht="15.75" customHeight="1">
      <c r="A533" s="908"/>
      <c r="B533" s="908"/>
      <c r="C533" s="908"/>
      <c r="D533" s="908"/>
      <c r="E533" s="908"/>
      <c r="F533" s="908"/>
      <c r="G533" s="908"/>
      <c r="H533" s="908"/>
      <c r="I533" s="908"/>
      <c r="J533" s="908"/>
      <c r="K533" s="900"/>
      <c r="L533" s="900"/>
    </row>
    <row r="534" spans="1:12" ht="15.75" customHeight="1">
      <c r="A534" s="908"/>
      <c r="B534" s="908"/>
      <c r="C534" s="908"/>
      <c r="D534" s="908"/>
      <c r="E534" s="908"/>
      <c r="F534" s="908"/>
      <c r="G534" s="908"/>
      <c r="H534" s="908"/>
      <c r="I534" s="908"/>
      <c r="J534" s="908"/>
      <c r="K534" s="900"/>
      <c r="L534" s="900"/>
    </row>
    <row r="535" spans="1:12" ht="15.75" customHeight="1">
      <c r="A535" s="908"/>
      <c r="B535" s="908"/>
      <c r="C535" s="908"/>
      <c r="D535" s="908"/>
      <c r="E535" s="908"/>
      <c r="F535" s="908"/>
      <c r="G535" s="908"/>
      <c r="H535" s="908"/>
      <c r="I535" s="908"/>
      <c r="J535" s="908"/>
      <c r="K535" s="900"/>
      <c r="L535" s="900"/>
    </row>
    <row r="536" spans="1:12" ht="15.75" customHeight="1">
      <c r="A536" s="908"/>
      <c r="B536" s="908"/>
      <c r="C536" s="908"/>
      <c r="D536" s="908"/>
      <c r="E536" s="908"/>
      <c r="F536" s="908"/>
      <c r="G536" s="908"/>
      <c r="H536" s="908"/>
      <c r="I536" s="908"/>
      <c r="J536" s="908"/>
      <c r="K536" s="900"/>
      <c r="L536" s="900"/>
    </row>
    <row r="537" spans="1:12" ht="15.75" customHeight="1">
      <c r="A537" s="908"/>
      <c r="B537" s="908"/>
      <c r="C537" s="908"/>
      <c r="D537" s="908"/>
      <c r="E537" s="908"/>
      <c r="F537" s="908"/>
      <c r="G537" s="908"/>
      <c r="H537" s="908"/>
      <c r="I537" s="908"/>
      <c r="J537" s="908"/>
      <c r="K537" s="900"/>
      <c r="L537" s="900"/>
    </row>
    <row r="538" spans="1:12" ht="15.75" customHeight="1">
      <c r="A538" s="908"/>
      <c r="B538" s="908"/>
      <c r="C538" s="908"/>
      <c r="D538" s="908"/>
      <c r="E538" s="908"/>
      <c r="F538" s="908"/>
      <c r="G538" s="908"/>
      <c r="H538" s="908"/>
      <c r="I538" s="908"/>
      <c r="J538" s="908"/>
      <c r="K538" s="900"/>
      <c r="L538" s="900"/>
    </row>
    <row r="539" spans="1:12" ht="15.75" customHeight="1">
      <c r="A539" s="908"/>
      <c r="B539" s="908"/>
      <c r="C539" s="908"/>
      <c r="D539" s="908"/>
      <c r="E539" s="908"/>
      <c r="F539" s="908"/>
      <c r="G539" s="908"/>
      <c r="H539" s="908"/>
      <c r="I539" s="908"/>
      <c r="J539" s="908"/>
      <c r="K539" s="900"/>
      <c r="L539" s="900"/>
    </row>
    <row r="540" spans="1:12" ht="15.75" customHeight="1">
      <c r="A540" s="908"/>
      <c r="B540" s="908"/>
      <c r="C540" s="908"/>
      <c r="D540" s="908"/>
      <c r="E540" s="908"/>
      <c r="F540" s="908"/>
      <c r="G540" s="908"/>
      <c r="H540" s="908"/>
      <c r="I540" s="908"/>
      <c r="J540" s="908"/>
      <c r="K540" s="900"/>
      <c r="L540" s="900"/>
    </row>
    <row r="541" spans="1:12" ht="15.75" customHeight="1">
      <c r="A541" s="908"/>
      <c r="B541" s="908"/>
      <c r="C541" s="908"/>
      <c r="D541" s="908"/>
      <c r="E541" s="908"/>
      <c r="F541" s="908"/>
      <c r="G541" s="908"/>
      <c r="H541" s="908"/>
      <c r="I541" s="908"/>
      <c r="J541" s="908"/>
      <c r="K541" s="900"/>
      <c r="L541" s="900"/>
    </row>
    <row r="542" spans="1:12" ht="15.75" customHeight="1">
      <c r="A542" s="908"/>
      <c r="B542" s="908"/>
      <c r="C542" s="908"/>
      <c r="D542" s="908"/>
      <c r="E542" s="908"/>
      <c r="F542" s="908"/>
      <c r="G542" s="908"/>
      <c r="H542" s="908"/>
      <c r="I542" s="908"/>
      <c r="J542" s="908"/>
      <c r="K542" s="900"/>
      <c r="L542" s="900"/>
    </row>
    <row r="543" spans="1:12" ht="15.75" customHeight="1">
      <c r="A543" s="908"/>
      <c r="B543" s="908"/>
      <c r="C543" s="908"/>
      <c r="D543" s="908"/>
      <c r="E543" s="908"/>
      <c r="F543" s="908"/>
      <c r="G543" s="908"/>
      <c r="H543" s="908"/>
      <c r="I543" s="908"/>
      <c r="J543" s="908"/>
      <c r="K543" s="900"/>
      <c r="L543" s="900"/>
    </row>
    <row r="544" spans="1:12" ht="15.75" customHeight="1">
      <c r="A544" s="908"/>
      <c r="B544" s="908"/>
      <c r="C544" s="908"/>
      <c r="D544" s="908"/>
      <c r="E544" s="908"/>
      <c r="F544" s="908"/>
      <c r="G544" s="908"/>
      <c r="H544" s="908"/>
      <c r="I544" s="908"/>
      <c r="J544" s="908"/>
      <c r="K544" s="900"/>
      <c r="L544" s="900"/>
    </row>
    <row r="545" spans="1:12" ht="15.75" customHeight="1">
      <c r="A545" s="908"/>
      <c r="B545" s="908"/>
      <c r="C545" s="908"/>
      <c r="D545" s="908"/>
      <c r="E545" s="908"/>
      <c r="F545" s="908"/>
      <c r="G545" s="908"/>
      <c r="H545" s="908"/>
      <c r="I545" s="908"/>
      <c r="J545" s="908"/>
      <c r="K545" s="900"/>
      <c r="L545" s="900"/>
    </row>
    <row r="546" spans="1:12" ht="15.75" customHeight="1">
      <c r="A546" s="908"/>
      <c r="B546" s="908"/>
      <c r="C546" s="908"/>
      <c r="D546" s="908"/>
      <c r="E546" s="908"/>
      <c r="F546" s="908"/>
      <c r="G546" s="908"/>
      <c r="H546" s="908"/>
      <c r="I546" s="908"/>
      <c r="J546" s="908"/>
      <c r="K546" s="900"/>
      <c r="L546" s="900"/>
    </row>
    <row r="547" spans="1:12" ht="15.75" customHeight="1">
      <c r="A547" s="908"/>
      <c r="B547" s="908"/>
      <c r="C547" s="908"/>
      <c r="D547" s="908"/>
      <c r="E547" s="908"/>
      <c r="F547" s="908"/>
      <c r="G547" s="908"/>
      <c r="H547" s="908"/>
      <c r="I547" s="908"/>
      <c r="J547" s="908"/>
      <c r="K547" s="900"/>
      <c r="L547" s="900"/>
    </row>
    <row r="548" spans="1:12" ht="15.75" customHeight="1">
      <c r="A548" s="908"/>
      <c r="B548" s="908"/>
      <c r="C548" s="908"/>
      <c r="D548" s="908"/>
      <c r="E548" s="908"/>
      <c r="F548" s="908"/>
      <c r="G548" s="908"/>
      <c r="H548" s="908"/>
      <c r="I548" s="908"/>
      <c r="J548" s="908"/>
      <c r="K548" s="900"/>
      <c r="L548" s="900"/>
    </row>
    <row r="549" spans="1:12" ht="15.75" customHeight="1">
      <c r="A549" s="908"/>
      <c r="B549" s="908"/>
      <c r="C549" s="908"/>
      <c r="D549" s="908"/>
      <c r="E549" s="908"/>
      <c r="F549" s="908"/>
      <c r="G549" s="908"/>
      <c r="H549" s="908"/>
      <c r="I549" s="908"/>
      <c r="J549" s="908"/>
      <c r="K549" s="900"/>
      <c r="L549" s="900"/>
    </row>
    <row r="550" spans="1:12" ht="15.75" customHeight="1">
      <c r="A550" s="908"/>
      <c r="B550" s="908"/>
      <c r="C550" s="908"/>
      <c r="D550" s="908"/>
      <c r="E550" s="908"/>
      <c r="F550" s="908"/>
      <c r="G550" s="908"/>
      <c r="H550" s="908"/>
      <c r="I550" s="908"/>
      <c r="J550" s="908"/>
      <c r="K550" s="900"/>
      <c r="L550" s="900"/>
    </row>
    <row r="551" spans="1:12" ht="15.75" customHeight="1">
      <c r="A551" s="908"/>
      <c r="B551" s="908"/>
      <c r="C551" s="908"/>
      <c r="D551" s="908"/>
      <c r="E551" s="908"/>
      <c r="F551" s="908"/>
      <c r="G551" s="908"/>
      <c r="H551" s="908"/>
      <c r="I551" s="908"/>
      <c r="J551" s="908"/>
      <c r="K551" s="900"/>
      <c r="L551" s="900"/>
    </row>
    <row r="552" spans="1:12" ht="15.75" customHeight="1">
      <c r="A552" s="908"/>
      <c r="B552" s="908"/>
      <c r="C552" s="908"/>
      <c r="D552" s="908"/>
      <c r="E552" s="908"/>
      <c r="F552" s="908"/>
      <c r="G552" s="908"/>
      <c r="H552" s="908"/>
      <c r="I552" s="908"/>
      <c r="J552" s="908"/>
      <c r="K552" s="900"/>
      <c r="L552" s="900"/>
    </row>
    <row r="553" spans="1:12" ht="15.75" customHeight="1">
      <c r="A553" s="908"/>
      <c r="B553" s="908"/>
      <c r="C553" s="908"/>
      <c r="D553" s="908"/>
      <c r="E553" s="908"/>
      <c r="F553" s="908"/>
      <c r="G553" s="908"/>
      <c r="H553" s="908"/>
      <c r="I553" s="908"/>
      <c r="J553" s="908"/>
      <c r="K553" s="900"/>
      <c r="L553" s="900"/>
    </row>
    <row r="554" spans="1:12" ht="15.75" customHeight="1">
      <c r="A554" s="908"/>
      <c r="B554" s="908"/>
      <c r="C554" s="908"/>
      <c r="D554" s="908"/>
      <c r="E554" s="908"/>
      <c r="F554" s="908"/>
      <c r="G554" s="908"/>
      <c r="H554" s="908"/>
      <c r="I554" s="908"/>
      <c r="J554" s="908"/>
      <c r="K554" s="900"/>
      <c r="L554" s="900"/>
    </row>
    <row r="555" spans="1:12" ht="15.75" customHeight="1">
      <c r="A555" s="908"/>
      <c r="B555" s="908"/>
      <c r="C555" s="908"/>
      <c r="D555" s="908"/>
      <c r="E555" s="908"/>
      <c r="F555" s="908"/>
      <c r="G555" s="908"/>
      <c r="H555" s="908"/>
      <c r="I555" s="908"/>
      <c r="J555" s="908"/>
      <c r="K555" s="900"/>
      <c r="L555" s="900"/>
    </row>
    <row r="556" spans="1:12" ht="15.75" customHeight="1">
      <c r="A556" s="908"/>
      <c r="B556" s="908"/>
      <c r="C556" s="908"/>
      <c r="D556" s="908"/>
      <c r="E556" s="908"/>
      <c r="F556" s="908"/>
      <c r="G556" s="908"/>
      <c r="H556" s="908"/>
      <c r="I556" s="908"/>
      <c r="J556" s="908"/>
      <c r="K556" s="900"/>
      <c r="L556" s="900"/>
    </row>
    <row r="557" spans="1:12" ht="15.75" customHeight="1">
      <c r="A557" s="908"/>
      <c r="B557" s="908"/>
      <c r="C557" s="908"/>
      <c r="D557" s="908"/>
      <c r="E557" s="908"/>
      <c r="F557" s="908"/>
      <c r="G557" s="908"/>
      <c r="H557" s="908"/>
      <c r="I557" s="908"/>
      <c r="J557" s="908"/>
      <c r="K557" s="900"/>
      <c r="L557" s="900"/>
    </row>
    <row r="558" spans="1:12" ht="15.75" customHeight="1">
      <c r="A558" s="908"/>
      <c r="B558" s="908"/>
      <c r="C558" s="908"/>
      <c r="D558" s="908"/>
      <c r="E558" s="908"/>
      <c r="F558" s="908"/>
      <c r="G558" s="908"/>
      <c r="H558" s="908"/>
      <c r="I558" s="908"/>
      <c r="J558" s="908"/>
      <c r="K558" s="900"/>
      <c r="L558" s="900"/>
    </row>
    <row r="559" spans="1:12" ht="15.75" customHeight="1">
      <c r="A559" s="908"/>
      <c r="B559" s="908"/>
      <c r="C559" s="908"/>
      <c r="D559" s="908"/>
      <c r="E559" s="908"/>
      <c r="F559" s="908"/>
      <c r="G559" s="908"/>
      <c r="H559" s="908"/>
      <c r="I559" s="908"/>
      <c r="J559" s="908"/>
      <c r="K559" s="900"/>
      <c r="L559" s="900"/>
    </row>
    <row r="560" spans="1:12" ht="15.75" customHeight="1">
      <c r="A560" s="908"/>
      <c r="B560" s="908"/>
      <c r="C560" s="908"/>
      <c r="D560" s="908"/>
      <c r="E560" s="908"/>
      <c r="F560" s="908"/>
      <c r="G560" s="908"/>
      <c r="H560" s="908"/>
      <c r="I560" s="908"/>
      <c r="J560" s="908"/>
      <c r="K560" s="900"/>
      <c r="L560" s="900"/>
    </row>
    <row r="561" spans="1:12" ht="15.75" customHeight="1">
      <c r="A561" s="908"/>
      <c r="B561" s="908"/>
      <c r="C561" s="908"/>
      <c r="D561" s="908"/>
      <c r="E561" s="908"/>
      <c r="F561" s="908"/>
      <c r="G561" s="908"/>
      <c r="H561" s="908"/>
      <c r="I561" s="908"/>
      <c r="J561" s="908"/>
      <c r="K561" s="900"/>
      <c r="L561" s="900"/>
    </row>
    <row r="562" spans="1:12" ht="15.75" customHeight="1">
      <c r="A562" s="908"/>
      <c r="B562" s="908"/>
      <c r="C562" s="908"/>
      <c r="D562" s="908"/>
      <c r="E562" s="908"/>
      <c r="F562" s="908"/>
      <c r="G562" s="908"/>
      <c r="H562" s="908"/>
      <c r="I562" s="908"/>
      <c r="J562" s="908"/>
      <c r="K562" s="900"/>
      <c r="L562" s="900"/>
    </row>
    <row r="563" spans="1:12" ht="15.75" customHeight="1">
      <c r="A563" s="908"/>
      <c r="B563" s="908"/>
      <c r="C563" s="908"/>
      <c r="D563" s="908"/>
      <c r="E563" s="908"/>
      <c r="F563" s="908"/>
      <c r="G563" s="908"/>
      <c r="H563" s="908"/>
      <c r="I563" s="908"/>
      <c r="J563" s="908"/>
      <c r="K563" s="900"/>
      <c r="L563" s="900"/>
    </row>
    <row r="564" spans="1:12" ht="15.75" customHeight="1">
      <c r="A564" s="908"/>
      <c r="B564" s="908"/>
      <c r="C564" s="908"/>
      <c r="D564" s="908"/>
      <c r="E564" s="908"/>
      <c r="F564" s="908"/>
      <c r="G564" s="908"/>
      <c r="H564" s="908"/>
      <c r="I564" s="908"/>
      <c r="J564" s="908"/>
      <c r="K564" s="900"/>
      <c r="L564" s="900"/>
    </row>
    <row r="565" spans="1:12" ht="15.75" customHeight="1">
      <c r="A565" s="908"/>
      <c r="B565" s="908"/>
      <c r="C565" s="908"/>
      <c r="D565" s="908"/>
      <c r="E565" s="908"/>
      <c r="F565" s="908"/>
      <c r="G565" s="908"/>
      <c r="H565" s="908"/>
      <c r="I565" s="908"/>
      <c r="J565" s="908"/>
      <c r="K565" s="900"/>
      <c r="L565" s="900"/>
    </row>
    <row r="566" spans="1:12" ht="15.75" customHeight="1">
      <c r="A566" s="908"/>
      <c r="B566" s="908"/>
      <c r="C566" s="908"/>
      <c r="D566" s="908"/>
      <c r="E566" s="908"/>
      <c r="F566" s="908"/>
      <c r="G566" s="908"/>
      <c r="H566" s="908"/>
      <c r="I566" s="908"/>
      <c r="J566" s="908"/>
      <c r="K566" s="900"/>
      <c r="L566" s="900"/>
    </row>
    <row r="567" spans="1:12" ht="15.75" customHeight="1">
      <c r="A567" s="908"/>
      <c r="B567" s="908"/>
      <c r="C567" s="908"/>
      <c r="D567" s="908"/>
      <c r="E567" s="908"/>
      <c r="F567" s="908"/>
      <c r="G567" s="908"/>
      <c r="H567" s="908"/>
      <c r="I567" s="908"/>
      <c r="J567" s="908"/>
      <c r="K567" s="900"/>
      <c r="L567" s="900"/>
    </row>
    <row r="568" spans="1:12" ht="15.75" customHeight="1">
      <c r="A568" s="908"/>
      <c r="B568" s="908"/>
      <c r="C568" s="908"/>
      <c r="D568" s="908"/>
      <c r="E568" s="908"/>
      <c r="F568" s="908"/>
      <c r="G568" s="908"/>
      <c r="H568" s="908"/>
      <c r="I568" s="908"/>
      <c r="J568" s="908"/>
      <c r="K568" s="900"/>
      <c r="L568" s="900"/>
    </row>
    <row r="569" spans="1:12" ht="15.75" customHeight="1">
      <c r="A569" s="908"/>
      <c r="B569" s="908"/>
      <c r="C569" s="908"/>
      <c r="D569" s="908"/>
      <c r="E569" s="908"/>
      <c r="F569" s="908"/>
      <c r="G569" s="908"/>
      <c r="H569" s="908"/>
      <c r="I569" s="908"/>
      <c r="J569" s="908"/>
      <c r="K569" s="900"/>
      <c r="L569" s="900"/>
    </row>
    <row r="570" spans="1:12" ht="15.75" customHeight="1">
      <c r="A570" s="908"/>
      <c r="B570" s="908"/>
      <c r="C570" s="908"/>
      <c r="D570" s="908"/>
      <c r="E570" s="908"/>
      <c r="F570" s="908"/>
      <c r="G570" s="908"/>
      <c r="H570" s="908"/>
      <c r="I570" s="908"/>
      <c r="J570" s="908"/>
      <c r="K570" s="900"/>
      <c r="L570" s="900"/>
    </row>
    <row r="571" spans="1:12" ht="15.75" customHeight="1">
      <c r="A571" s="908"/>
      <c r="B571" s="908"/>
      <c r="C571" s="908"/>
      <c r="D571" s="908"/>
      <c r="E571" s="908"/>
      <c r="F571" s="908"/>
      <c r="G571" s="908"/>
      <c r="H571" s="908"/>
      <c r="I571" s="908"/>
      <c r="J571" s="908"/>
      <c r="K571" s="900"/>
      <c r="L571" s="900"/>
    </row>
    <row r="572" spans="1:12" ht="15.75" customHeight="1">
      <c r="A572" s="908"/>
      <c r="B572" s="908"/>
      <c r="C572" s="908"/>
      <c r="D572" s="908"/>
      <c r="E572" s="908"/>
      <c r="F572" s="908"/>
      <c r="G572" s="908"/>
      <c r="H572" s="908"/>
      <c r="I572" s="908"/>
      <c r="J572" s="908"/>
      <c r="K572" s="900"/>
      <c r="L572" s="900"/>
    </row>
    <row r="573" spans="1:12" ht="15.75" customHeight="1">
      <c r="A573" s="908"/>
      <c r="B573" s="908"/>
      <c r="C573" s="908"/>
      <c r="D573" s="908"/>
      <c r="E573" s="908"/>
      <c r="F573" s="908"/>
      <c r="G573" s="908"/>
      <c r="H573" s="908"/>
      <c r="I573" s="908"/>
      <c r="J573" s="908"/>
      <c r="K573" s="900"/>
      <c r="L573" s="900"/>
    </row>
    <row r="574" spans="1:12" ht="15.75" customHeight="1">
      <c r="A574" s="908"/>
      <c r="B574" s="908"/>
      <c r="C574" s="908"/>
      <c r="D574" s="908"/>
      <c r="E574" s="908"/>
      <c r="F574" s="908"/>
      <c r="G574" s="908"/>
      <c r="H574" s="908"/>
      <c r="I574" s="908"/>
      <c r="J574" s="908"/>
      <c r="K574" s="900"/>
      <c r="L574" s="900"/>
    </row>
    <row r="575" spans="1:12" ht="15.75" customHeight="1">
      <c r="A575" s="908"/>
      <c r="B575" s="908"/>
      <c r="C575" s="908"/>
      <c r="D575" s="908"/>
      <c r="E575" s="908"/>
      <c r="F575" s="908"/>
      <c r="G575" s="908"/>
      <c r="H575" s="908"/>
      <c r="I575" s="908"/>
      <c r="J575" s="908"/>
      <c r="K575" s="900"/>
      <c r="L575" s="900"/>
    </row>
    <row r="576" spans="1:12" ht="15.75" customHeight="1">
      <c r="A576" s="908"/>
      <c r="B576" s="908"/>
      <c r="C576" s="908"/>
      <c r="D576" s="908"/>
      <c r="E576" s="908"/>
      <c r="F576" s="908"/>
      <c r="G576" s="908"/>
      <c r="H576" s="908"/>
      <c r="I576" s="908"/>
      <c r="J576" s="908"/>
      <c r="K576" s="900"/>
      <c r="L576" s="900"/>
    </row>
    <row r="577" spans="1:12" ht="15.75" customHeight="1">
      <c r="A577" s="908"/>
      <c r="B577" s="908"/>
      <c r="C577" s="908"/>
      <c r="D577" s="908"/>
      <c r="E577" s="908"/>
      <c r="F577" s="908"/>
      <c r="G577" s="908"/>
      <c r="H577" s="908"/>
      <c r="I577" s="908"/>
      <c r="J577" s="908"/>
      <c r="K577" s="900"/>
      <c r="L577" s="900"/>
    </row>
    <row r="578" spans="1:12" ht="15.75" customHeight="1">
      <c r="A578" s="908"/>
      <c r="B578" s="908"/>
      <c r="C578" s="908"/>
      <c r="D578" s="908"/>
      <c r="E578" s="908"/>
      <c r="F578" s="908"/>
      <c r="G578" s="908"/>
      <c r="H578" s="908"/>
      <c r="I578" s="908"/>
      <c r="J578" s="908"/>
      <c r="K578" s="900"/>
      <c r="L578" s="900"/>
    </row>
    <row r="579" spans="1:12" ht="15.75" customHeight="1">
      <c r="A579" s="908"/>
      <c r="B579" s="908"/>
      <c r="C579" s="908"/>
      <c r="D579" s="908"/>
      <c r="E579" s="908"/>
      <c r="F579" s="908"/>
      <c r="G579" s="908"/>
      <c r="H579" s="908"/>
      <c r="I579" s="908"/>
      <c r="J579" s="908"/>
      <c r="K579" s="900"/>
      <c r="L579" s="900"/>
    </row>
    <row r="580" spans="1:12" ht="15.75" customHeight="1">
      <c r="A580" s="908"/>
      <c r="B580" s="908"/>
      <c r="C580" s="908"/>
      <c r="D580" s="908"/>
      <c r="E580" s="908"/>
      <c r="F580" s="908"/>
      <c r="G580" s="908"/>
      <c r="H580" s="908"/>
      <c r="I580" s="908"/>
      <c r="J580" s="908"/>
      <c r="K580" s="900"/>
      <c r="L580" s="900"/>
    </row>
    <row r="581" spans="1:12" ht="15.75" customHeight="1">
      <c r="A581" s="908"/>
      <c r="B581" s="908"/>
      <c r="C581" s="908"/>
      <c r="D581" s="908"/>
      <c r="E581" s="908"/>
      <c r="F581" s="908"/>
      <c r="G581" s="908"/>
      <c r="H581" s="908"/>
      <c r="I581" s="908"/>
      <c r="J581" s="908"/>
      <c r="K581" s="900"/>
      <c r="L581" s="900"/>
    </row>
    <row r="582" spans="1:12" ht="15.75" customHeight="1">
      <c r="A582" s="908"/>
      <c r="B582" s="908"/>
      <c r="C582" s="908"/>
      <c r="D582" s="908"/>
      <c r="E582" s="908"/>
      <c r="F582" s="908"/>
      <c r="G582" s="908"/>
      <c r="H582" s="908"/>
      <c r="I582" s="908"/>
      <c r="J582" s="908"/>
      <c r="K582" s="900"/>
      <c r="L582" s="900"/>
    </row>
    <row r="583" spans="1:12" ht="15.75" customHeight="1">
      <c r="A583" s="908"/>
      <c r="B583" s="908"/>
      <c r="C583" s="908"/>
      <c r="D583" s="908"/>
      <c r="E583" s="908"/>
      <c r="F583" s="908"/>
      <c r="G583" s="908"/>
      <c r="H583" s="908"/>
      <c r="I583" s="908"/>
      <c r="J583" s="908"/>
      <c r="K583" s="900"/>
      <c r="L583" s="900"/>
    </row>
    <row r="584" spans="1:12" ht="15.75" customHeight="1">
      <c r="A584" s="908"/>
      <c r="B584" s="908"/>
      <c r="C584" s="908"/>
      <c r="D584" s="908"/>
      <c r="E584" s="908"/>
      <c r="F584" s="908"/>
      <c r="G584" s="908"/>
      <c r="H584" s="908"/>
      <c r="I584" s="908"/>
      <c r="J584" s="908"/>
      <c r="K584" s="900"/>
      <c r="L584" s="900"/>
    </row>
    <row r="585" spans="1:12" ht="15.75" customHeight="1">
      <c r="A585" s="908"/>
      <c r="B585" s="908"/>
      <c r="C585" s="908"/>
      <c r="D585" s="908"/>
      <c r="E585" s="908"/>
      <c r="F585" s="908"/>
      <c r="G585" s="908"/>
      <c r="H585" s="908"/>
      <c r="I585" s="908"/>
      <c r="J585" s="908"/>
      <c r="K585" s="900"/>
      <c r="L585" s="900"/>
    </row>
    <row r="586" spans="1:12" ht="15.75" customHeight="1">
      <c r="A586" s="908"/>
      <c r="B586" s="908"/>
      <c r="C586" s="908"/>
      <c r="D586" s="908"/>
      <c r="E586" s="908"/>
      <c r="F586" s="908"/>
      <c r="G586" s="908"/>
      <c r="H586" s="908"/>
      <c r="I586" s="908"/>
      <c r="J586" s="908"/>
      <c r="K586" s="900"/>
      <c r="L586" s="900"/>
    </row>
    <row r="587" spans="1:12" ht="15.75" customHeight="1">
      <c r="A587" s="908"/>
      <c r="B587" s="908"/>
      <c r="C587" s="908"/>
      <c r="D587" s="908"/>
      <c r="E587" s="908"/>
      <c r="F587" s="908"/>
      <c r="G587" s="908"/>
      <c r="H587" s="908"/>
      <c r="I587" s="908"/>
      <c r="J587" s="908"/>
      <c r="K587" s="900"/>
      <c r="L587" s="900"/>
    </row>
    <row r="588" spans="1:12" ht="15.75" customHeight="1">
      <c r="A588" s="908"/>
      <c r="B588" s="908"/>
      <c r="C588" s="908"/>
      <c r="D588" s="908"/>
      <c r="E588" s="908"/>
      <c r="F588" s="908"/>
      <c r="G588" s="908"/>
      <c r="H588" s="908"/>
      <c r="I588" s="908"/>
      <c r="J588" s="908"/>
      <c r="K588" s="900"/>
      <c r="L588" s="900"/>
    </row>
    <row r="589" spans="1:12" ht="15.75" customHeight="1">
      <c r="A589" s="908"/>
      <c r="B589" s="908"/>
      <c r="C589" s="908"/>
      <c r="D589" s="908"/>
      <c r="E589" s="908"/>
      <c r="F589" s="908"/>
      <c r="G589" s="908"/>
      <c r="H589" s="908"/>
      <c r="I589" s="908"/>
      <c r="J589" s="908"/>
      <c r="K589" s="900"/>
      <c r="L589" s="900"/>
    </row>
    <row r="590" spans="1:12" ht="15.75" customHeight="1">
      <c r="A590" s="908"/>
      <c r="B590" s="908"/>
      <c r="C590" s="908"/>
      <c r="D590" s="908"/>
      <c r="E590" s="908"/>
      <c r="F590" s="908"/>
      <c r="G590" s="908"/>
      <c r="H590" s="908"/>
      <c r="I590" s="908"/>
      <c r="J590" s="908"/>
      <c r="K590" s="900"/>
      <c r="L590" s="900"/>
    </row>
    <row r="591" spans="1:12" ht="15.75" customHeight="1">
      <c r="A591" s="908"/>
      <c r="B591" s="908"/>
      <c r="C591" s="908"/>
      <c r="D591" s="908"/>
      <c r="E591" s="908"/>
      <c r="F591" s="908"/>
      <c r="G591" s="908"/>
      <c r="H591" s="908"/>
      <c r="I591" s="908"/>
      <c r="J591" s="908"/>
      <c r="K591" s="900"/>
      <c r="L591" s="900"/>
    </row>
    <row r="592" spans="1:12" ht="15.75" customHeight="1">
      <c r="A592" s="908"/>
      <c r="B592" s="908"/>
      <c r="C592" s="908"/>
      <c r="D592" s="908"/>
      <c r="E592" s="908"/>
      <c r="F592" s="908"/>
      <c r="G592" s="908"/>
      <c r="H592" s="908"/>
      <c r="I592" s="908"/>
      <c r="J592" s="908"/>
      <c r="K592" s="900"/>
      <c r="L592" s="900"/>
    </row>
    <row r="593" spans="1:12" ht="15.75" customHeight="1">
      <c r="A593" s="908"/>
      <c r="B593" s="908"/>
      <c r="C593" s="908"/>
      <c r="D593" s="908"/>
      <c r="E593" s="908"/>
      <c r="F593" s="908"/>
      <c r="G593" s="908"/>
      <c r="H593" s="908"/>
      <c r="I593" s="908"/>
      <c r="J593" s="908"/>
      <c r="K593" s="900"/>
      <c r="L593" s="900"/>
    </row>
    <row r="594" spans="1:12" ht="15.75" customHeight="1">
      <c r="A594" s="908"/>
      <c r="B594" s="908"/>
      <c r="C594" s="908"/>
      <c r="D594" s="908"/>
      <c r="E594" s="908"/>
      <c r="F594" s="908"/>
      <c r="G594" s="908"/>
      <c r="H594" s="908"/>
      <c r="I594" s="908"/>
      <c r="J594" s="908"/>
      <c r="K594" s="900"/>
      <c r="L594" s="900"/>
    </row>
    <row r="595" spans="1:12" ht="15.75" customHeight="1">
      <c r="A595" s="908"/>
      <c r="B595" s="908"/>
      <c r="C595" s="908"/>
      <c r="D595" s="908"/>
      <c r="E595" s="908"/>
      <c r="F595" s="908"/>
      <c r="G595" s="908"/>
      <c r="H595" s="908"/>
      <c r="I595" s="908"/>
      <c r="J595" s="908"/>
      <c r="K595" s="900"/>
      <c r="L595" s="900"/>
    </row>
    <row r="596" spans="1:12" ht="15.75" customHeight="1">
      <c r="A596" s="908"/>
      <c r="B596" s="908"/>
      <c r="C596" s="908"/>
      <c r="D596" s="908"/>
      <c r="E596" s="908"/>
      <c r="F596" s="908"/>
      <c r="G596" s="908"/>
      <c r="H596" s="908"/>
      <c r="I596" s="908"/>
      <c r="J596" s="908"/>
      <c r="K596" s="900"/>
      <c r="L596" s="900"/>
    </row>
    <row r="597" spans="1:12" ht="15.75" customHeight="1">
      <c r="A597" s="908"/>
      <c r="B597" s="908"/>
      <c r="C597" s="908"/>
      <c r="D597" s="908"/>
      <c r="E597" s="908"/>
      <c r="F597" s="908"/>
      <c r="G597" s="908"/>
      <c r="H597" s="908"/>
      <c r="I597" s="908"/>
      <c r="J597" s="908"/>
      <c r="K597" s="900"/>
      <c r="L597" s="900"/>
    </row>
    <row r="598" spans="1:12" ht="15.75" customHeight="1">
      <c r="A598" s="908"/>
      <c r="B598" s="908"/>
      <c r="C598" s="908"/>
      <c r="D598" s="908"/>
      <c r="E598" s="908"/>
      <c r="F598" s="908"/>
      <c r="G598" s="908"/>
      <c r="H598" s="908"/>
      <c r="I598" s="908"/>
      <c r="J598" s="908"/>
      <c r="K598" s="900"/>
      <c r="L598" s="900"/>
    </row>
    <row r="599" spans="1:12" ht="15.75" customHeight="1">
      <c r="A599" s="908"/>
      <c r="B599" s="908"/>
      <c r="C599" s="908"/>
      <c r="D599" s="908"/>
      <c r="E599" s="908"/>
      <c r="F599" s="908"/>
      <c r="G599" s="908"/>
      <c r="H599" s="908"/>
      <c r="I599" s="908"/>
      <c r="J599" s="908"/>
      <c r="K599" s="900"/>
      <c r="L599" s="900"/>
    </row>
    <row r="600" spans="1:12" ht="15.75" customHeight="1">
      <c r="A600" s="908"/>
      <c r="B600" s="908"/>
      <c r="C600" s="908"/>
      <c r="D600" s="908"/>
      <c r="E600" s="908"/>
      <c r="F600" s="908"/>
      <c r="G600" s="908"/>
      <c r="H600" s="908"/>
      <c r="I600" s="908"/>
      <c r="J600" s="908"/>
      <c r="K600" s="900"/>
      <c r="L600" s="900"/>
    </row>
    <row r="601" spans="1:12" ht="15.75" customHeight="1">
      <c r="A601" s="908"/>
      <c r="B601" s="908"/>
      <c r="C601" s="908"/>
      <c r="D601" s="908"/>
      <c r="E601" s="908"/>
      <c r="F601" s="908"/>
      <c r="G601" s="908"/>
      <c r="H601" s="908"/>
      <c r="I601" s="908"/>
      <c r="J601" s="908"/>
      <c r="K601" s="900"/>
      <c r="L601" s="900"/>
    </row>
    <row r="602" spans="1:12" ht="15.75" customHeight="1">
      <c r="A602" s="908"/>
      <c r="B602" s="908"/>
      <c r="C602" s="908"/>
      <c r="D602" s="908"/>
      <c r="E602" s="908"/>
      <c r="F602" s="908"/>
      <c r="G602" s="908"/>
      <c r="H602" s="908"/>
      <c r="I602" s="908"/>
      <c r="J602" s="908"/>
      <c r="K602" s="900"/>
      <c r="L602" s="900"/>
    </row>
    <row r="603" spans="1:12" ht="15.75" customHeight="1">
      <c r="A603" s="908"/>
      <c r="B603" s="908"/>
      <c r="C603" s="908"/>
      <c r="D603" s="908"/>
      <c r="E603" s="908"/>
      <c r="F603" s="908"/>
      <c r="G603" s="908"/>
      <c r="H603" s="908"/>
      <c r="I603" s="908"/>
      <c r="J603" s="908"/>
      <c r="K603" s="900"/>
      <c r="L603" s="900"/>
    </row>
    <row r="604" spans="1:12" ht="15.75" customHeight="1">
      <c r="A604" s="908"/>
      <c r="B604" s="908"/>
      <c r="C604" s="908"/>
      <c r="D604" s="908"/>
      <c r="E604" s="908"/>
      <c r="F604" s="908"/>
      <c r="G604" s="908"/>
      <c r="H604" s="908"/>
      <c r="I604" s="908"/>
      <c r="J604" s="908"/>
      <c r="K604" s="900"/>
      <c r="L604" s="900"/>
    </row>
    <row r="605" spans="1:12" ht="15.75" customHeight="1">
      <c r="A605" s="908"/>
      <c r="B605" s="908"/>
      <c r="C605" s="908"/>
      <c r="D605" s="908"/>
      <c r="E605" s="908"/>
      <c r="F605" s="908"/>
      <c r="G605" s="908"/>
      <c r="H605" s="908"/>
      <c r="I605" s="908"/>
      <c r="J605" s="908"/>
      <c r="K605" s="900"/>
      <c r="L605" s="900"/>
    </row>
    <row r="606" spans="1:12" ht="15.75" customHeight="1">
      <c r="A606" s="908"/>
      <c r="B606" s="908"/>
      <c r="C606" s="908"/>
      <c r="D606" s="908"/>
      <c r="E606" s="908"/>
      <c r="F606" s="908"/>
      <c r="G606" s="908"/>
      <c r="H606" s="908"/>
      <c r="I606" s="908"/>
      <c r="J606" s="908"/>
      <c r="K606" s="900"/>
      <c r="L606" s="900"/>
    </row>
    <row r="607" spans="1:12" ht="15.75" customHeight="1">
      <c r="A607" s="908"/>
      <c r="B607" s="908"/>
      <c r="C607" s="908"/>
      <c r="D607" s="908"/>
      <c r="E607" s="908"/>
      <c r="F607" s="908"/>
      <c r="G607" s="908"/>
      <c r="H607" s="908"/>
      <c r="I607" s="908"/>
      <c r="J607" s="908"/>
      <c r="K607" s="900"/>
      <c r="L607" s="900"/>
    </row>
    <row r="608" spans="1:12" ht="15.75" customHeight="1">
      <c r="A608" s="908"/>
      <c r="B608" s="908"/>
      <c r="C608" s="908"/>
      <c r="D608" s="908"/>
      <c r="E608" s="908"/>
      <c r="F608" s="908"/>
      <c r="G608" s="908"/>
      <c r="H608" s="908"/>
      <c r="I608" s="908"/>
      <c r="J608" s="908"/>
      <c r="K608" s="900"/>
      <c r="L608" s="900"/>
    </row>
    <row r="609" spans="1:12" ht="15.75" customHeight="1">
      <c r="A609" s="908"/>
      <c r="B609" s="908"/>
      <c r="C609" s="908"/>
      <c r="D609" s="908"/>
      <c r="E609" s="908"/>
      <c r="F609" s="908"/>
      <c r="G609" s="908"/>
      <c r="H609" s="908"/>
      <c r="I609" s="908"/>
      <c r="J609" s="908"/>
      <c r="K609" s="900"/>
      <c r="L609" s="900"/>
    </row>
    <row r="610" spans="1:12" ht="15.75" customHeight="1">
      <c r="A610" s="908"/>
      <c r="B610" s="908"/>
      <c r="C610" s="908"/>
      <c r="D610" s="908"/>
      <c r="E610" s="908"/>
      <c r="F610" s="908"/>
      <c r="G610" s="908"/>
      <c r="H610" s="908"/>
      <c r="I610" s="908"/>
      <c r="J610" s="908"/>
      <c r="K610" s="900"/>
      <c r="L610" s="900"/>
    </row>
    <row r="611" spans="1:12" ht="15.75" customHeight="1">
      <c r="A611" s="908"/>
      <c r="B611" s="908"/>
      <c r="C611" s="908"/>
      <c r="D611" s="908"/>
      <c r="E611" s="908"/>
      <c r="F611" s="908"/>
      <c r="G611" s="908"/>
      <c r="H611" s="908"/>
      <c r="I611" s="908"/>
      <c r="J611" s="908"/>
      <c r="K611" s="900"/>
      <c r="L611" s="900"/>
    </row>
    <row r="612" spans="1:12" ht="15.75" customHeight="1">
      <c r="A612" s="908"/>
      <c r="B612" s="908"/>
      <c r="C612" s="908"/>
      <c r="D612" s="908"/>
      <c r="E612" s="908"/>
      <c r="F612" s="908"/>
      <c r="G612" s="908"/>
      <c r="H612" s="908"/>
      <c r="I612" s="908"/>
      <c r="J612" s="908"/>
      <c r="K612" s="900"/>
      <c r="L612" s="900"/>
    </row>
    <row r="613" spans="1:12" ht="15.75" customHeight="1">
      <c r="A613" s="908"/>
      <c r="B613" s="908"/>
      <c r="C613" s="908"/>
      <c r="D613" s="908"/>
      <c r="E613" s="908"/>
      <c r="F613" s="908"/>
      <c r="G613" s="908"/>
      <c r="H613" s="908"/>
      <c r="I613" s="908"/>
      <c r="J613" s="908"/>
      <c r="K613" s="900"/>
      <c r="L613" s="900"/>
    </row>
    <row r="614" spans="1:12" ht="15.75" customHeight="1">
      <c r="A614" s="908"/>
      <c r="B614" s="908"/>
      <c r="C614" s="908"/>
      <c r="D614" s="908"/>
      <c r="E614" s="908"/>
      <c r="F614" s="908"/>
      <c r="G614" s="908"/>
      <c r="H614" s="908"/>
      <c r="I614" s="908"/>
      <c r="J614" s="908"/>
      <c r="K614" s="900"/>
      <c r="L614" s="900"/>
    </row>
    <row r="615" spans="1:12" ht="15.75" customHeight="1">
      <c r="A615" s="908"/>
      <c r="B615" s="908"/>
      <c r="C615" s="908"/>
      <c r="D615" s="908"/>
      <c r="E615" s="908"/>
      <c r="F615" s="908"/>
      <c r="G615" s="908"/>
      <c r="H615" s="908"/>
      <c r="I615" s="908"/>
      <c r="J615" s="908"/>
      <c r="K615" s="900"/>
      <c r="L615" s="900"/>
    </row>
    <row r="616" spans="1:12" ht="15.75" customHeight="1">
      <c r="A616" s="908"/>
      <c r="B616" s="908"/>
      <c r="C616" s="908"/>
      <c r="D616" s="908"/>
      <c r="E616" s="908"/>
      <c r="F616" s="908"/>
      <c r="G616" s="908"/>
      <c r="H616" s="908"/>
      <c r="I616" s="908"/>
      <c r="J616" s="908"/>
      <c r="K616" s="900"/>
      <c r="L616" s="900"/>
    </row>
    <row r="617" spans="1:12" ht="15.75" customHeight="1">
      <c r="A617" s="908"/>
      <c r="B617" s="908"/>
      <c r="C617" s="908"/>
      <c r="D617" s="908"/>
      <c r="E617" s="908"/>
      <c r="F617" s="908"/>
      <c r="G617" s="908"/>
      <c r="H617" s="908"/>
      <c r="I617" s="908"/>
      <c r="J617" s="908"/>
      <c r="K617" s="900"/>
      <c r="L617" s="900"/>
    </row>
    <row r="618" spans="1:12" ht="15.75" customHeight="1">
      <c r="A618" s="908"/>
      <c r="B618" s="908"/>
      <c r="C618" s="908"/>
      <c r="D618" s="908"/>
      <c r="E618" s="908"/>
      <c r="F618" s="908"/>
      <c r="G618" s="908"/>
      <c r="H618" s="908"/>
      <c r="I618" s="908"/>
      <c r="J618" s="908"/>
      <c r="K618" s="900"/>
      <c r="L618" s="900"/>
    </row>
    <row r="619" spans="1:12" ht="15.75" customHeight="1">
      <c r="A619" s="908"/>
      <c r="B619" s="908"/>
      <c r="C619" s="908"/>
      <c r="D619" s="908"/>
      <c r="E619" s="908"/>
      <c r="F619" s="908"/>
      <c r="G619" s="908"/>
      <c r="H619" s="908"/>
      <c r="I619" s="908"/>
      <c r="J619" s="908"/>
      <c r="K619" s="900"/>
      <c r="L619" s="900"/>
    </row>
    <row r="620" spans="1:12" ht="15.75" customHeight="1">
      <c r="A620" s="908"/>
      <c r="B620" s="908"/>
      <c r="C620" s="908"/>
      <c r="D620" s="908"/>
      <c r="E620" s="908"/>
      <c r="F620" s="908"/>
      <c r="G620" s="908"/>
      <c r="H620" s="908"/>
      <c r="I620" s="908"/>
      <c r="J620" s="908"/>
      <c r="K620" s="900"/>
      <c r="L620" s="900"/>
    </row>
    <row r="621" spans="1:12" ht="15.75" customHeight="1">
      <c r="A621" s="908"/>
      <c r="B621" s="908"/>
      <c r="C621" s="908"/>
      <c r="D621" s="908"/>
      <c r="E621" s="908"/>
      <c r="F621" s="908"/>
      <c r="G621" s="908"/>
      <c r="H621" s="908"/>
      <c r="I621" s="908"/>
      <c r="J621" s="908"/>
      <c r="K621" s="900"/>
      <c r="L621" s="900"/>
    </row>
    <row r="622" spans="1:12" ht="15.75" customHeight="1">
      <c r="A622" s="908"/>
      <c r="B622" s="908"/>
      <c r="C622" s="908"/>
      <c r="D622" s="908"/>
      <c r="E622" s="908"/>
      <c r="F622" s="908"/>
      <c r="G622" s="908"/>
      <c r="H622" s="908"/>
      <c r="I622" s="908"/>
      <c r="J622" s="908"/>
      <c r="K622" s="900"/>
      <c r="L622" s="900"/>
    </row>
    <row r="623" spans="1:12" ht="15.75" customHeight="1">
      <c r="A623" s="908"/>
      <c r="B623" s="908"/>
      <c r="C623" s="908"/>
      <c r="D623" s="908"/>
      <c r="E623" s="908"/>
      <c r="F623" s="908"/>
      <c r="G623" s="908"/>
      <c r="H623" s="908"/>
      <c r="I623" s="908"/>
      <c r="J623" s="908"/>
      <c r="K623" s="900"/>
      <c r="L623" s="900"/>
    </row>
    <row r="624" spans="1:12" ht="15.75" customHeight="1">
      <c r="A624" s="908"/>
      <c r="B624" s="908"/>
      <c r="C624" s="908"/>
      <c r="D624" s="908"/>
      <c r="E624" s="908"/>
      <c r="F624" s="908"/>
      <c r="G624" s="908"/>
      <c r="H624" s="908"/>
      <c r="I624" s="908"/>
      <c r="J624" s="908"/>
      <c r="K624" s="900"/>
      <c r="L624" s="900"/>
    </row>
    <row r="625" spans="1:12" ht="15.75" customHeight="1">
      <c r="A625" s="908"/>
      <c r="B625" s="908"/>
      <c r="C625" s="908"/>
      <c r="D625" s="908"/>
      <c r="E625" s="908"/>
      <c r="F625" s="908"/>
      <c r="G625" s="908"/>
      <c r="H625" s="908"/>
      <c r="I625" s="908"/>
      <c r="J625" s="908"/>
      <c r="K625" s="900"/>
      <c r="L625" s="900"/>
    </row>
    <row r="626" spans="1:12" ht="15.75" customHeight="1">
      <c r="A626" s="908"/>
      <c r="B626" s="908"/>
      <c r="C626" s="908"/>
      <c r="D626" s="908"/>
      <c r="E626" s="908"/>
      <c r="F626" s="908"/>
      <c r="G626" s="908"/>
      <c r="H626" s="908"/>
      <c r="I626" s="908"/>
      <c r="J626" s="908"/>
      <c r="K626" s="900"/>
      <c r="L626" s="900"/>
    </row>
    <row r="627" spans="1:12" ht="15.75" customHeight="1">
      <c r="A627" s="908"/>
      <c r="B627" s="908"/>
      <c r="C627" s="908"/>
      <c r="D627" s="908"/>
      <c r="E627" s="908"/>
      <c r="F627" s="908"/>
      <c r="G627" s="908"/>
      <c r="H627" s="908"/>
      <c r="I627" s="908"/>
      <c r="J627" s="908"/>
      <c r="K627" s="900"/>
      <c r="L627" s="900"/>
    </row>
    <row r="628" spans="1:12" ht="15.75" customHeight="1">
      <c r="A628" s="908"/>
      <c r="B628" s="908"/>
      <c r="C628" s="908"/>
      <c r="D628" s="908"/>
      <c r="E628" s="908"/>
      <c r="F628" s="908"/>
      <c r="G628" s="908"/>
      <c r="H628" s="908"/>
      <c r="I628" s="908"/>
      <c r="J628" s="908"/>
      <c r="K628" s="900"/>
      <c r="L628" s="900"/>
    </row>
    <row r="629" spans="1:12" ht="15.75" customHeight="1">
      <c r="A629" s="908"/>
      <c r="B629" s="908"/>
      <c r="C629" s="908"/>
      <c r="D629" s="908"/>
      <c r="E629" s="908"/>
      <c r="F629" s="908"/>
      <c r="G629" s="908"/>
      <c r="H629" s="908"/>
      <c r="I629" s="908"/>
      <c r="J629" s="908"/>
      <c r="K629" s="900"/>
      <c r="L629" s="900"/>
    </row>
    <row r="630" spans="1:12" ht="15.75" customHeight="1">
      <c r="A630" s="908"/>
      <c r="B630" s="908"/>
      <c r="C630" s="908"/>
      <c r="D630" s="908"/>
      <c r="E630" s="908"/>
      <c r="F630" s="908"/>
      <c r="G630" s="908"/>
      <c r="H630" s="908"/>
      <c r="I630" s="908"/>
      <c r="J630" s="908"/>
      <c r="K630" s="900"/>
      <c r="L630" s="900"/>
    </row>
    <row r="631" spans="1:12" ht="15.75" customHeight="1">
      <c r="A631" s="908"/>
      <c r="B631" s="908"/>
      <c r="C631" s="908"/>
      <c r="D631" s="908"/>
      <c r="E631" s="908"/>
      <c r="F631" s="908"/>
      <c r="G631" s="908"/>
      <c r="H631" s="908"/>
      <c r="I631" s="908"/>
      <c r="J631" s="908"/>
      <c r="K631" s="900"/>
      <c r="L631" s="900"/>
    </row>
    <row r="632" spans="1:12" ht="15.75" customHeight="1">
      <c r="A632" s="908"/>
      <c r="B632" s="908"/>
      <c r="C632" s="908"/>
      <c r="D632" s="908"/>
      <c r="E632" s="908"/>
      <c r="F632" s="908"/>
      <c r="G632" s="908"/>
      <c r="H632" s="908"/>
      <c r="I632" s="908"/>
      <c r="J632" s="908"/>
      <c r="K632" s="900"/>
      <c r="L632" s="900"/>
    </row>
    <row r="633" spans="1:12" ht="15.75" customHeight="1">
      <c r="A633" s="908"/>
      <c r="B633" s="908"/>
      <c r="C633" s="908"/>
      <c r="D633" s="908"/>
      <c r="E633" s="908"/>
      <c r="F633" s="908"/>
      <c r="G633" s="908"/>
      <c r="H633" s="908"/>
      <c r="I633" s="908"/>
      <c r="J633" s="908"/>
      <c r="K633" s="900"/>
      <c r="L633" s="900"/>
    </row>
    <row r="634" spans="1:12" ht="15.75" customHeight="1">
      <c r="A634" s="908"/>
      <c r="B634" s="908"/>
      <c r="C634" s="908"/>
      <c r="D634" s="908"/>
      <c r="E634" s="908"/>
      <c r="F634" s="908"/>
      <c r="G634" s="908"/>
      <c r="H634" s="908"/>
      <c r="I634" s="908"/>
      <c r="J634" s="908"/>
      <c r="K634" s="900"/>
      <c r="L634" s="900"/>
    </row>
    <row r="635" spans="1:12" ht="15.75" customHeight="1">
      <c r="A635" s="908"/>
      <c r="B635" s="908"/>
      <c r="C635" s="908"/>
      <c r="D635" s="908"/>
      <c r="E635" s="908"/>
      <c r="F635" s="908"/>
      <c r="G635" s="908"/>
      <c r="H635" s="908"/>
      <c r="I635" s="908"/>
      <c r="J635" s="908"/>
      <c r="K635" s="900"/>
      <c r="L635" s="900"/>
    </row>
    <row r="636" spans="1:12" ht="15.75" customHeight="1">
      <c r="A636" s="908"/>
      <c r="B636" s="908"/>
      <c r="C636" s="908"/>
      <c r="D636" s="908"/>
      <c r="E636" s="908"/>
      <c r="F636" s="908"/>
      <c r="G636" s="908"/>
      <c r="H636" s="908"/>
      <c r="I636" s="908"/>
      <c r="J636" s="908"/>
      <c r="K636" s="900"/>
      <c r="L636" s="900"/>
    </row>
    <row r="637" spans="1:12" ht="15.75" customHeight="1">
      <c r="A637" s="908"/>
      <c r="B637" s="908"/>
      <c r="C637" s="908"/>
      <c r="D637" s="908"/>
      <c r="E637" s="908"/>
      <c r="F637" s="908"/>
      <c r="G637" s="908"/>
      <c r="H637" s="908"/>
      <c r="I637" s="908"/>
      <c r="J637" s="908"/>
      <c r="K637" s="900"/>
      <c r="L637" s="900"/>
    </row>
    <row r="638" spans="1:12" ht="15.75" customHeight="1">
      <c r="A638" s="908"/>
      <c r="B638" s="908"/>
      <c r="C638" s="908"/>
      <c r="D638" s="908"/>
      <c r="E638" s="908"/>
      <c r="F638" s="908"/>
      <c r="G638" s="908"/>
      <c r="H638" s="908"/>
      <c r="I638" s="908"/>
      <c r="J638" s="908"/>
      <c r="K638" s="900"/>
      <c r="L638" s="900"/>
    </row>
    <row r="639" spans="1:12" ht="15.75" customHeight="1">
      <c r="A639" s="908"/>
      <c r="B639" s="908"/>
      <c r="C639" s="908"/>
      <c r="D639" s="908"/>
      <c r="E639" s="908"/>
      <c r="F639" s="908"/>
      <c r="G639" s="908"/>
      <c r="H639" s="908"/>
      <c r="I639" s="908"/>
      <c r="J639" s="908"/>
      <c r="K639" s="900"/>
      <c r="L639" s="900"/>
    </row>
    <row r="640" spans="1:12" ht="15.75" customHeight="1">
      <c r="A640" s="908"/>
      <c r="B640" s="908"/>
      <c r="C640" s="908"/>
      <c r="D640" s="908"/>
      <c r="E640" s="908"/>
      <c r="F640" s="908"/>
      <c r="G640" s="908"/>
      <c r="H640" s="908"/>
      <c r="I640" s="908"/>
      <c r="J640" s="908"/>
      <c r="K640" s="900"/>
      <c r="L640" s="900"/>
    </row>
    <row r="641" spans="1:12" ht="15.75" customHeight="1">
      <c r="A641" s="908"/>
      <c r="B641" s="908"/>
      <c r="C641" s="908"/>
      <c r="D641" s="908"/>
      <c r="E641" s="908"/>
      <c r="F641" s="908"/>
      <c r="G641" s="908"/>
      <c r="H641" s="908"/>
      <c r="I641" s="908"/>
      <c r="J641" s="908"/>
      <c r="K641" s="900"/>
      <c r="L641" s="900"/>
    </row>
    <row r="642" spans="1:12" ht="15.75" customHeight="1">
      <c r="A642" s="908"/>
      <c r="B642" s="908"/>
      <c r="C642" s="908"/>
      <c r="D642" s="908"/>
      <c r="E642" s="908"/>
      <c r="F642" s="908"/>
      <c r="G642" s="908"/>
      <c r="H642" s="908"/>
      <c r="I642" s="908"/>
      <c r="J642" s="908"/>
      <c r="K642" s="900"/>
      <c r="L642" s="900"/>
    </row>
    <row r="643" spans="1:12" ht="15.75" customHeight="1">
      <c r="A643" s="908"/>
      <c r="B643" s="908"/>
      <c r="C643" s="908"/>
      <c r="D643" s="908"/>
      <c r="E643" s="908"/>
      <c r="F643" s="908"/>
      <c r="G643" s="908"/>
      <c r="H643" s="908"/>
      <c r="I643" s="908"/>
      <c r="J643" s="908"/>
      <c r="K643" s="900"/>
      <c r="L643" s="900"/>
    </row>
    <row r="644" spans="1:12" ht="15.75" customHeight="1">
      <c r="A644" s="908"/>
      <c r="B644" s="908"/>
      <c r="C644" s="908"/>
      <c r="D644" s="908"/>
      <c r="E644" s="908"/>
      <c r="F644" s="908"/>
      <c r="G644" s="908"/>
      <c r="H644" s="908"/>
      <c r="I644" s="908"/>
      <c r="J644" s="908"/>
      <c r="K644" s="900"/>
      <c r="L644" s="900"/>
    </row>
    <row r="645" spans="1:12" ht="15.75" customHeight="1">
      <c r="A645" s="908"/>
      <c r="B645" s="908"/>
      <c r="C645" s="908"/>
      <c r="D645" s="908"/>
      <c r="E645" s="908"/>
      <c r="F645" s="908"/>
      <c r="G645" s="908"/>
      <c r="H645" s="908"/>
      <c r="I645" s="908"/>
      <c r="J645" s="908"/>
      <c r="K645" s="900"/>
      <c r="L645" s="900"/>
    </row>
    <row r="646" spans="1:12" ht="15.75" customHeight="1">
      <c r="A646" s="908"/>
      <c r="B646" s="908"/>
      <c r="C646" s="908"/>
      <c r="D646" s="908"/>
      <c r="E646" s="908"/>
      <c r="F646" s="908"/>
      <c r="G646" s="908"/>
      <c r="H646" s="908"/>
      <c r="I646" s="908"/>
      <c r="J646" s="908"/>
      <c r="K646" s="900"/>
      <c r="L646" s="900"/>
    </row>
    <row r="647" spans="1:12" ht="15.75" customHeight="1">
      <c r="A647" s="908"/>
      <c r="B647" s="908"/>
      <c r="C647" s="908"/>
      <c r="D647" s="908"/>
      <c r="E647" s="908"/>
      <c r="F647" s="908"/>
      <c r="G647" s="908"/>
      <c r="H647" s="908"/>
      <c r="I647" s="908"/>
      <c r="J647" s="908"/>
      <c r="K647" s="900"/>
      <c r="L647" s="900"/>
    </row>
    <row r="648" spans="1:12" ht="15.75" customHeight="1">
      <c r="A648" s="908"/>
      <c r="B648" s="908"/>
      <c r="C648" s="908"/>
      <c r="D648" s="908"/>
      <c r="E648" s="908"/>
      <c r="F648" s="908"/>
      <c r="G648" s="908"/>
      <c r="H648" s="908"/>
      <c r="I648" s="908"/>
      <c r="J648" s="908"/>
      <c r="K648" s="900"/>
      <c r="L648" s="900"/>
    </row>
    <row r="649" spans="1:12" ht="15.75" customHeight="1">
      <c r="A649" s="908"/>
      <c r="B649" s="908"/>
      <c r="C649" s="908"/>
      <c r="D649" s="908"/>
      <c r="E649" s="908"/>
      <c r="F649" s="908"/>
      <c r="G649" s="908"/>
      <c r="H649" s="908"/>
      <c r="I649" s="908"/>
      <c r="J649" s="908"/>
      <c r="K649" s="900"/>
      <c r="L649" s="900"/>
    </row>
    <row r="650" spans="1:12" ht="15.75" customHeight="1">
      <c r="A650" s="908"/>
      <c r="B650" s="908"/>
      <c r="C650" s="908"/>
      <c r="D650" s="908"/>
      <c r="E650" s="908"/>
      <c r="F650" s="908"/>
      <c r="G650" s="908"/>
      <c r="H650" s="908"/>
      <c r="I650" s="908"/>
      <c r="J650" s="908"/>
      <c r="K650" s="900"/>
      <c r="L650" s="900"/>
    </row>
    <row r="651" spans="1:12" ht="15.75" customHeight="1">
      <c r="A651" s="908"/>
      <c r="B651" s="908"/>
      <c r="C651" s="908"/>
      <c r="D651" s="908"/>
      <c r="E651" s="908"/>
      <c r="F651" s="908"/>
      <c r="G651" s="908"/>
      <c r="H651" s="908"/>
      <c r="I651" s="908"/>
      <c r="J651" s="908"/>
      <c r="K651" s="900"/>
      <c r="L651" s="900"/>
    </row>
    <row r="652" spans="1:12" ht="15.75" customHeight="1">
      <c r="A652" s="908"/>
      <c r="B652" s="908"/>
      <c r="C652" s="908"/>
      <c r="D652" s="908"/>
      <c r="E652" s="908"/>
      <c r="F652" s="908"/>
      <c r="G652" s="908"/>
      <c r="H652" s="908"/>
      <c r="I652" s="908"/>
      <c r="J652" s="908"/>
      <c r="K652" s="900"/>
      <c r="L652" s="900"/>
    </row>
    <row r="653" spans="1:12" ht="15.75" customHeight="1">
      <c r="A653" s="908"/>
      <c r="B653" s="908"/>
      <c r="C653" s="908"/>
      <c r="D653" s="908"/>
      <c r="E653" s="908"/>
      <c r="F653" s="908"/>
      <c r="G653" s="908"/>
      <c r="H653" s="908"/>
      <c r="I653" s="908"/>
      <c r="J653" s="908"/>
      <c r="K653" s="900"/>
      <c r="L653" s="900"/>
    </row>
    <row r="654" spans="1:12" ht="15.75" customHeight="1">
      <c r="A654" s="908"/>
      <c r="B654" s="908"/>
      <c r="C654" s="908"/>
      <c r="D654" s="908"/>
      <c r="E654" s="908"/>
      <c r="F654" s="908"/>
      <c r="G654" s="908"/>
      <c r="H654" s="908"/>
      <c r="I654" s="908"/>
      <c r="J654" s="908"/>
      <c r="K654" s="900"/>
      <c r="L654" s="900"/>
    </row>
    <row r="655" spans="1:12" ht="15.75" customHeight="1">
      <c r="A655" s="908"/>
      <c r="B655" s="908"/>
      <c r="C655" s="908"/>
      <c r="D655" s="908"/>
      <c r="E655" s="908"/>
      <c r="F655" s="908"/>
      <c r="G655" s="908"/>
      <c r="H655" s="908"/>
      <c r="I655" s="908"/>
      <c r="J655" s="908"/>
      <c r="K655" s="900"/>
      <c r="L655" s="900"/>
    </row>
    <row r="656" spans="1:12" ht="15.75" customHeight="1">
      <c r="A656" s="908"/>
      <c r="B656" s="908"/>
      <c r="C656" s="908"/>
      <c r="D656" s="908"/>
      <c r="E656" s="908"/>
      <c r="F656" s="908"/>
      <c r="G656" s="908"/>
      <c r="H656" s="908"/>
      <c r="I656" s="908"/>
      <c r="J656" s="908"/>
      <c r="K656" s="900"/>
      <c r="L656" s="900"/>
    </row>
    <row r="657" spans="1:12" ht="15.75" customHeight="1">
      <c r="A657" s="908"/>
      <c r="B657" s="908"/>
      <c r="C657" s="908"/>
      <c r="D657" s="908"/>
      <c r="E657" s="908"/>
      <c r="F657" s="908"/>
      <c r="G657" s="908"/>
      <c r="H657" s="908"/>
      <c r="I657" s="908"/>
      <c r="J657" s="908"/>
      <c r="K657" s="900"/>
      <c r="L657" s="900"/>
    </row>
    <row r="658" spans="1:12" ht="15.75" customHeight="1">
      <c r="A658" s="908"/>
      <c r="B658" s="908"/>
      <c r="C658" s="908"/>
      <c r="D658" s="908"/>
      <c r="E658" s="908"/>
      <c r="F658" s="908"/>
      <c r="G658" s="908"/>
      <c r="H658" s="908"/>
      <c r="I658" s="908"/>
      <c r="J658" s="908"/>
      <c r="K658" s="900"/>
      <c r="L658" s="900"/>
    </row>
    <row r="659" spans="1:12" ht="15.75" customHeight="1">
      <c r="A659" s="908"/>
      <c r="B659" s="908"/>
      <c r="C659" s="908"/>
      <c r="D659" s="908"/>
      <c r="E659" s="908"/>
      <c r="F659" s="908"/>
      <c r="G659" s="908"/>
      <c r="H659" s="908"/>
      <c r="I659" s="908"/>
      <c r="J659" s="908"/>
      <c r="K659" s="900"/>
      <c r="L659" s="900"/>
    </row>
    <row r="660" spans="1:12" ht="15.75" customHeight="1">
      <c r="A660" s="908"/>
      <c r="B660" s="908"/>
      <c r="C660" s="908"/>
      <c r="D660" s="908"/>
      <c r="E660" s="908"/>
      <c r="F660" s="908"/>
      <c r="G660" s="908"/>
      <c r="H660" s="908"/>
      <c r="I660" s="908"/>
      <c r="J660" s="908"/>
      <c r="K660" s="900"/>
      <c r="L660" s="900"/>
    </row>
    <row r="661" spans="1:12" ht="15.75" customHeight="1">
      <c r="A661" s="908"/>
      <c r="B661" s="908"/>
      <c r="C661" s="908"/>
      <c r="D661" s="908"/>
      <c r="E661" s="908"/>
      <c r="F661" s="908"/>
      <c r="G661" s="908"/>
      <c r="H661" s="908"/>
      <c r="I661" s="908"/>
      <c r="J661" s="908"/>
      <c r="K661" s="900"/>
      <c r="L661" s="900"/>
    </row>
    <row r="662" spans="1:12" ht="15.75" customHeight="1">
      <c r="A662" s="908"/>
      <c r="B662" s="908"/>
      <c r="C662" s="908"/>
      <c r="D662" s="908"/>
      <c r="E662" s="908"/>
      <c r="F662" s="908"/>
      <c r="G662" s="908"/>
      <c r="H662" s="908"/>
      <c r="I662" s="908"/>
      <c r="J662" s="908"/>
      <c r="K662" s="900"/>
      <c r="L662" s="900"/>
    </row>
    <row r="663" spans="1:12" ht="15.75" customHeight="1">
      <c r="A663" s="908"/>
      <c r="B663" s="908"/>
      <c r="C663" s="908"/>
      <c r="D663" s="908"/>
      <c r="E663" s="908"/>
      <c r="F663" s="908"/>
      <c r="G663" s="908"/>
      <c r="H663" s="908"/>
      <c r="I663" s="908"/>
      <c r="J663" s="908"/>
      <c r="K663" s="900"/>
      <c r="L663" s="900"/>
    </row>
    <row r="664" spans="1:12" ht="15.75" customHeight="1">
      <c r="A664" s="908"/>
      <c r="B664" s="908"/>
      <c r="C664" s="908"/>
      <c r="D664" s="908"/>
      <c r="E664" s="908"/>
      <c r="F664" s="908"/>
      <c r="G664" s="908"/>
      <c r="H664" s="908"/>
      <c r="I664" s="908"/>
      <c r="J664" s="908"/>
      <c r="K664" s="900"/>
      <c r="L664" s="900"/>
    </row>
    <row r="665" spans="1:12" ht="15.75" customHeight="1">
      <c r="A665" s="908"/>
      <c r="B665" s="908"/>
      <c r="C665" s="908"/>
      <c r="D665" s="908"/>
      <c r="E665" s="908"/>
      <c r="F665" s="908"/>
      <c r="G665" s="908"/>
      <c r="H665" s="908"/>
      <c r="I665" s="908"/>
      <c r="J665" s="908"/>
      <c r="K665" s="900"/>
      <c r="L665" s="900"/>
    </row>
    <row r="666" spans="1:12" ht="15.75" customHeight="1">
      <c r="A666" s="908"/>
      <c r="B666" s="908"/>
      <c r="C666" s="908"/>
      <c r="D666" s="908"/>
      <c r="E666" s="908"/>
      <c r="F666" s="908"/>
      <c r="G666" s="908"/>
      <c r="H666" s="908"/>
      <c r="I666" s="908"/>
      <c r="J666" s="908"/>
      <c r="K666" s="900"/>
      <c r="L666" s="900"/>
    </row>
    <row r="667" spans="1:12" ht="15.75" customHeight="1">
      <c r="A667" s="908"/>
      <c r="B667" s="908"/>
      <c r="C667" s="908"/>
      <c r="D667" s="908"/>
      <c r="E667" s="908"/>
      <c r="F667" s="908"/>
      <c r="G667" s="908"/>
      <c r="H667" s="908"/>
      <c r="I667" s="908"/>
      <c r="J667" s="908"/>
      <c r="K667" s="900"/>
      <c r="L667" s="900"/>
    </row>
    <row r="668" spans="1:12" ht="15.75" customHeight="1">
      <c r="A668" s="908"/>
      <c r="B668" s="908"/>
      <c r="C668" s="908"/>
      <c r="D668" s="908"/>
      <c r="E668" s="908"/>
      <c r="F668" s="908"/>
      <c r="G668" s="908"/>
      <c r="H668" s="908"/>
      <c r="I668" s="908"/>
      <c r="J668" s="908"/>
      <c r="K668" s="900"/>
      <c r="L668" s="900"/>
    </row>
    <row r="669" spans="1:12" ht="15.75" customHeight="1">
      <c r="A669" s="908"/>
      <c r="B669" s="908"/>
      <c r="C669" s="908"/>
      <c r="D669" s="908"/>
      <c r="E669" s="908"/>
      <c r="F669" s="908"/>
      <c r="G669" s="908"/>
      <c r="H669" s="908"/>
      <c r="I669" s="908"/>
      <c r="J669" s="908"/>
      <c r="K669" s="900"/>
      <c r="L669" s="900"/>
    </row>
    <row r="670" spans="1:12" ht="15.75" customHeight="1">
      <c r="A670" s="908"/>
      <c r="B670" s="908"/>
      <c r="C670" s="908"/>
      <c r="D670" s="908"/>
      <c r="E670" s="908"/>
      <c r="F670" s="908"/>
      <c r="G670" s="908"/>
      <c r="H670" s="908"/>
      <c r="I670" s="908"/>
      <c r="J670" s="908"/>
      <c r="K670" s="900"/>
      <c r="L670" s="900"/>
    </row>
    <row r="671" spans="1:12" ht="15.75" customHeight="1">
      <c r="A671" s="908"/>
      <c r="B671" s="908"/>
      <c r="C671" s="908"/>
      <c r="D671" s="908"/>
      <c r="E671" s="908"/>
      <c r="F671" s="908"/>
      <c r="G671" s="908"/>
      <c r="H671" s="908"/>
      <c r="I671" s="908"/>
      <c r="J671" s="908"/>
      <c r="K671" s="900"/>
      <c r="L671" s="900"/>
    </row>
    <row r="672" spans="1:12" ht="15.75" customHeight="1">
      <c r="A672" s="908"/>
      <c r="B672" s="908"/>
      <c r="C672" s="908"/>
      <c r="D672" s="908"/>
      <c r="E672" s="908"/>
      <c r="F672" s="908"/>
      <c r="G672" s="908"/>
      <c r="H672" s="908"/>
      <c r="I672" s="908"/>
      <c r="J672" s="908"/>
      <c r="K672" s="900"/>
      <c r="L672" s="900"/>
    </row>
    <row r="673" spans="1:12" ht="15.75" customHeight="1">
      <c r="A673" s="908"/>
      <c r="B673" s="908"/>
      <c r="C673" s="908"/>
      <c r="D673" s="908"/>
      <c r="E673" s="908"/>
      <c r="F673" s="908"/>
      <c r="G673" s="908"/>
      <c r="H673" s="908"/>
      <c r="I673" s="908"/>
      <c r="J673" s="908"/>
      <c r="K673" s="900"/>
      <c r="L673" s="900"/>
    </row>
    <row r="674" spans="1:12" ht="15.75" customHeight="1">
      <c r="A674" s="908"/>
      <c r="B674" s="908"/>
      <c r="C674" s="908"/>
      <c r="D674" s="908"/>
      <c r="E674" s="908"/>
      <c r="F674" s="908"/>
      <c r="G674" s="908"/>
      <c r="H674" s="908"/>
      <c r="I674" s="908"/>
      <c r="J674" s="908"/>
      <c r="K674" s="900"/>
      <c r="L674" s="900"/>
    </row>
    <row r="675" spans="1:12" ht="15.75" customHeight="1">
      <c r="A675" s="908"/>
      <c r="B675" s="908"/>
      <c r="C675" s="908"/>
      <c r="D675" s="908"/>
      <c r="E675" s="908"/>
      <c r="F675" s="908"/>
      <c r="G675" s="908"/>
      <c r="H675" s="908"/>
      <c r="I675" s="908"/>
      <c r="J675" s="908"/>
      <c r="K675" s="900"/>
      <c r="L675" s="900"/>
    </row>
    <row r="676" spans="1:12" ht="15.75" customHeight="1">
      <c r="A676" s="908"/>
      <c r="B676" s="908"/>
      <c r="C676" s="908"/>
      <c r="D676" s="908"/>
      <c r="E676" s="908"/>
      <c r="F676" s="908"/>
      <c r="G676" s="908"/>
      <c r="H676" s="908"/>
      <c r="I676" s="908"/>
      <c r="J676" s="908"/>
      <c r="K676" s="900"/>
      <c r="L676" s="900"/>
    </row>
    <row r="677" spans="1:12" ht="15.75" customHeight="1">
      <c r="A677" s="908"/>
      <c r="B677" s="908"/>
      <c r="C677" s="908"/>
      <c r="D677" s="908"/>
      <c r="E677" s="908"/>
      <c r="F677" s="908"/>
      <c r="G677" s="908"/>
      <c r="H677" s="908"/>
      <c r="I677" s="908"/>
      <c r="J677" s="908"/>
      <c r="K677" s="900"/>
      <c r="L677" s="900"/>
    </row>
    <row r="678" spans="1:12" ht="15.75" customHeight="1">
      <c r="A678" s="908"/>
      <c r="B678" s="908"/>
      <c r="C678" s="908"/>
      <c r="D678" s="908"/>
      <c r="E678" s="908"/>
      <c r="F678" s="908"/>
      <c r="G678" s="908"/>
      <c r="H678" s="908"/>
      <c r="I678" s="908"/>
      <c r="J678" s="908"/>
      <c r="K678" s="900"/>
      <c r="L678" s="900"/>
    </row>
    <row r="679" spans="1:12" ht="15.75" customHeight="1">
      <c r="A679" s="908"/>
      <c r="B679" s="908"/>
      <c r="C679" s="908"/>
      <c r="D679" s="908"/>
      <c r="E679" s="908"/>
      <c r="F679" s="908"/>
      <c r="G679" s="908"/>
      <c r="H679" s="908"/>
      <c r="I679" s="908"/>
      <c r="J679" s="908"/>
      <c r="K679" s="900"/>
      <c r="L679" s="900"/>
    </row>
    <row r="680" spans="1:12" ht="15.75" customHeight="1">
      <c r="A680" s="908"/>
      <c r="B680" s="908"/>
      <c r="C680" s="908"/>
      <c r="D680" s="908"/>
      <c r="E680" s="908"/>
      <c r="F680" s="908"/>
      <c r="G680" s="908"/>
      <c r="H680" s="908"/>
      <c r="I680" s="908"/>
      <c r="J680" s="908"/>
      <c r="K680" s="900"/>
      <c r="L680" s="900"/>
    </row>
    <row r="681" spans="1:12" ht="15.75" customHeight="1">
      <c r="A681" s="908"/>
      <c r="B681" s="908"/>
      <c r="C681" s="908"/>
      <c r="D681" s="908"/>
      <c r="E681" s="908"/>
      <c r="F681" s="908"/>
      <c r="G681" s="908"/>
      <c r="H681" s="908"/>
      <c r="I681" s="908"/>
      <c r="J681" s="908"/>
      <c r="K681" s="900"/>
      <c r="L681" s="900"/>
    </row>
    <row r="682" spans="1:12" ht="15.75" customHeight="1">
      <c r="A682" s="908"/>
      <c r="B682" s="908"/>
      <c r="C682" s="908"/>
      <c r="D682" s="908"/>
      <c r="E682" s="908"/>
      <c r="F682" s="908"/>
      <c r="G682" s="908"/>
      <c r="H682" s="908"/>
      <c r="I682" s="908"/>
      <c r="J682" s="908"/>
      <c r="K682" s="900"/>
      <c r="L682" s="900"/>
    </row>
    <row r="683" spans="1:12" ht="15.75" customHeight="1">
      <c r="A683" s="908"/>
      <c r="B683" s="908"/>
      <c r="C683" s="908"/>
      <c r="D683" s="908"/>
      <c r="E683" s="908"/>
      <c r="F683" s="908"/>
      <c r="G683" s="908"/>
      <c r="H683" s="908"/>
      <c r="I683" s="908"/>
      <c r="J683" s="908"/>
      <c r="K683" s="900"/>
      <c r="L683" s="900"/>
    </row>
    <row r="684" spans="1:12" ht="15.75" customHeight="1">
      <c r="A684" s="908"/>
      <c r="B684" s="908"/>
      <c r="C684" s="908"/>
      <c r="D684" s="908"/>
      <c r="E684" s="908"/>
      <c r="F684" s="908"/>
      <c r="G684" s="908"/>
      <c r="H684" s="908"/>
      <c r="I684" s="908"/>
      <c r="J684" s="908"/>
      <c r="K684" s="900"/>
      <c r="L684" s="900"/>
    </row>
    <row r="685" spans="1:12" ht="15.75" customHeight="1">
      <c r="A685" s="908"/>
      <c r="B685" s="908"/>
      <c r="C685" s="908"/>
      <c r="D685" s="908"/>
      <c r="E685" s="908"/>
      <c r="F685" s="908"/>
      <c r="G685" s="908"/>
      <c r="H685" s="908"/>
      <c r="I685" s="908"/>
      <c r="J685" s="908"/>
      <c r="K685" s="900"/>
      <c r="L685" s="900"/>
    </row>
    <row r="686" spans="1:12" ht="15.75" customHeight="1">
      <c r="A686" s="908"/>
      <c r="B686" s="908"/>
      <c r="C686" s="908"/>
      <c r="D686" s="908"/>
      <c r="E686" s="908"/>
      <c r="F686" s="908"/>
      <c r="G686" s="908"/>
      <c r="H686" s="908"/>
      <c r="I686" s="908"/>
      <c r="J686" s="908"/>
      <c r="K686" s="900"/>
      <c r="L686" s="900"/>
    </row>
    <row r="687" spans="1:12" ht="15.75" customHeight="1">
      <c r="A687" s="908"/>
      <c r="B687" s="908"/>
      <c r="C687" s="908"/>
      <c r="D687" s="908"/>
      <c r="E687" s="908"/>
      <c r="F687" s="908"/>
      <c r="G687" s="908"/>
      <c r="H687" s="908"/>
      <c r="I687" s="908"/>
      <c r="J687" s="908"/>
      <c r="K687" s="900"/>
      <c r="L687" s="900"/>
    </row>
    <row r="688" spans="1:12" ht="15.75" customHeight="1">
      <c r="A688" s="908"/>
      <c r="B688" s="908"/>
      <c r="C688" s="908"/>
      <c r="D688" s="908"/>
      <c r="E688" s="908"/>
      <c r="F688" s="908"/>
      <c r="G688" s="908"/>
      <c r="H688" s="908"/>
      <c r="I688" s="908"/>
      <c r="J688" s="908"/>
      <c r="K688" s="900"/>
      <c r="L688" s="900"/>
    </row>
    <row r="689" spans="1:12" ht="15.75" customHeight="1">
      <c r="A689" s="908"/>
      <c r="B689" s="908"/>
      <c r="C689" s="908"/>
      <c r="D689" s="908"/>
      <c r="E689" s="908"/>
      <c r="F689" s="908"/>
      <c r="G689" s="908"/>
      <c r="H689" s="908"/>
      <c r="I689" s="908"/>
      <c r="J689" s="908"/>
      <c r="K689" s="900"/>
      <c r="L689" s="900"/>
    </row>
    <row r="690" spans="1:12" ht="15.75" customHeight="1">
      <c r="A690" s="908"/>
      <c r="B690" s="908"/>
      <c r="C690" s="908"/>
      <c r="D690" s="908"/>
      <c r="E690" s="908"/>
      <c r="F690" s="908"/>
      <c r="G690" s="908"/>
      <c r="H690" s="908"/>
      <c r="I690" s="908"/>
      <c r="J690" s="908"/>
      <c r="K690" s="900"/>
      <c r="L690" s="900"/>
    </row>
    <row r="691" spans="1:12" ht="15.75" customHeight="1">
      <c r="A691" s="908"/>
      <c r="B691" s="908"/>
      <c r="C691" s="908"/>
      <c r="D691" s="908"/>
      <c r="E691" s="908"/>
      <c r="F691" s="908"/>
      <c r="G691" s="908"/>
      <c r="H691" s="908"/>
      <c r="I691" s="908"/>
      <c r="J691" s="908"/>
      <c r="K691" s="900"/>
      <c r="L691" s="900"/>
    </row>
    <row r="692" spans="1:12" ht="15.75" customHeight="1">
      <c r="A692" s="908"/>
      <c r="B692" s="908"/>
      <c r="C692" s="908"/>
      <c r="D692" s="908"/>
      <c r="E692" s="908"/>
      <c r="F692" s="908"/>
      <c r="G692" s="908"/>
      <c r="H692" s="908"/>
      <c r="I692" s="908"/>
      <c r="J692" s="908"/>
      <c r="K692" s="900"/>
      <c r="L692" s="900"/>
    </row>
    <row r="693" spans="1:12" ht="15.75" customHeight="1">
      <c r="A693" s="908"/>
      <c r="B693" s="908"/>
      <c r="C693" s="908"/>
      <c r="D693" s="908"/>
      <c r="E693" s="908"/>
      <c r="F693" s="908"/>
      <c r="G693" s="908"/>
      <c r="H693" s="908"/>
      <c r="I693" s="908"/>
      <c r="J693" s="908"/>
      <c r="K693" s="900"/>
      <c r="L693" s="900"/>
    </row>
    <row r="694" spans="1:12" ht="15.75" customHeight="1">
      <c r="A694" s="908"/>
      <c r="B694" s="908"/>
      <c r="C694" s="908"/>
      <c r="D694" s="908"/>
      <c r="E694" s="908"/>
      <c r="F694" s="908"/>
      <c r="G694" s="908"/>
      <c r="H694" s="908"/>
      <c r="I694" s="908"/>
      <c r="J694" s="908"/>
      <c r="K694" s="900"/>
      <c r="L694" s="900"/>
    </row>
    <row r="695" spans="1:12" ht="15.75" customHeight="1">
      <c r="A695" s="908"/>
      <c r="B695" s="908"/>
      <c r="C695" s="908"/>
      <c r="D695" s="908"/>
      <c r="E695" s="908"/>
      <c r="F695" s="908"/>
      <c r="G695" s="908"/>
      <c r="H695" s="908"/>
      <c r="I695" s="908"/>
      <c r="J695" s="908"/>
      <c r="K695" s="900"/>
      <c r="L695" s="900"/>
    </row>
    <row r="696" spans="1:12" ht="15.75" customHeight="1">
      <c r="A696" s="908"/>
      <c r="B696" s="908"/>
      <c r="C696" s="908"/>
      <c r="D696" s="908"/>
      <c r="E696" s="908"/>
      <c r="F696" s="908"/>
      <c r="G696" s="908"/>
      <c r="H696" s="908"/>
      <c r="I696" s="908"/>
      <c r="J696" s="908"/>
      <c r="K696" s="900"/>
      <c r="L696" s="900"/>
    </row>
    <row r="697" spans="1:12" ht="15.75" customHeight="1">
      <c r="A697" s="908"/>
      <c r="B697" s="908"/>
      <c r="C697" s="908"/>
      <c r="D697" s="908"/>
      <c r="E697" s="908"/>
      <c r="F697" s="908"/>
      <c r="G697" s="908"/>
      <c r="H697" s="908"/>
      <c r="I697" s="908"/>
      <c r="J697" s="908"/>
      <c r="K697" s="900"/>
      <c r="L697" s="900"/>
    </row>
    <row r="698" spans="1:12" ht="15.75" customHeight="1">
      <c r="A698" s="908"/>
      <c r="B698" s="908"/>
      <c r="C698" s="908"/>
      <c r="D698" s="908"/>
      <c r="E698" s="908"/>
      <c r="F698" s="908"/>
      <c r="G698" s="908"/>
      <c r="H698" s="908"/>
      <c r="I698" s="908"/>
      <c r="J698" s="908"/>
      <c r="K698" s="900"/>
      <c r="L698" s="900"/>
    </row>
    <row r="699" spans="1:12" ht="15.75" customHeight="1">
      <c r="A699" s="908"/>
      <c r="B699" s="908"/>
      <c r="C699" s="908"/>
      <c r="D699" s="908"/>
      <c r="E699" s="908"/>
      <c r="F699" s="908"/>
      <c r="G699" s="908"/>
      <c r="H699" s="908"/>
      <c r="I699" s="908"/>
      <c r="J699" s="908"/>
      <c r="K699" s="900"/>
      <c r="L699" s="900"/>
    </row>
    <row r="700" spans="1:12" ht="15.75" customHeight="1">
      <c r="A700" s="908"/>
      <c r="B700" s="908"/>
      <c r="C700" s="908"/>
      <c r="D700" s="908"/>
      <c r="E700" s="908"/>
      <c r="F700" s="908"/>
      <c r="G700" s="908"/>
      <c r="H700" s="908"/>
      <c r="I700" s="908"/>
      <c r="J700" s="908"/>
      <c r="K700" s="900"/>
      <c r="L700" s="900"/>
    </row>
    <row r="701" spans="1:12" ht="15.75" customHeight="1">
      <c r="A701" s="908"/>
      <c r="B701" s="908"/>
      <c r="C701" s="908"/>
      <c r="D701" s="908"/>
      <c r="E701" s="908"/>
      <c r="F701" s="908"/>
      <c r="G701" s="908"/>
      <c r="H701" s="908"/>
      <c r="I701" s="908"/>
      <c r="J701" s="908"/>
      <c r="K701" s="900"/>
      <c r="L701" s="900"/>
    </row>
    <row r="702" spans="1:12" ht="15.75" customHeight="1">
      <c r="A702" s="908"/>
      <c r="B702" s="908"/>
      <c r="C702" s="908"/>
      <c r="D702" s="908"/>
      <c r="E702" s="908"/>
      <c r="F702" s="908"/>
      <c r="G702" s="908"/>
      <c r="H702" s="908"/>
      <c r="I702" s="908"/>
      <c r="J702" s="908"/>
      <c r="K702" s="900"/>
      <c r="L702" s="900"/>
    </row>
    <row r="703" spans="1:12" ht="15.75" customHeight="1">
      <c r="A703" s="908"/>
      <c r="B703" s="908"/>
      <c r="C703" s="908"/>
      <c r="D703" s="908"/>
      <c r="E703" s="908"/>
      <c r="F703" s="908"/>
      <c r="G703" s="908"/>
      <c r="H703" s="908"/>
      <c r="I703" s="908"/>
      <c r="J703" s="908"/>
      <c r="K703" s="900"/>
      <c r="L703" s="900"/>
    </row>
    <row r="704" spans="1:12" ht="15.75" customHeight="1">
      <c r="A704" s="908"/>
      <c r="B704" s="908"/>
      <c r="C704" s="908"/>
      <c r="D704" s="908"/>
      <c r="E704" s="908"/>
      <c r="F704" s="908"/>
      <c r="G704" s="908"/>
      <c r="H704" s="908"/>
      <c r="I704" s="908"/>
      <c r="J704" s="908"/>
      <c r="K704" s="900"/>
      <c r="L704" s="900"/>
    </row>
    <row r="705" spans="1:12" ht="15.75" customHeight="1">
      <c r="A705" s="908"/>
      <c r="B705" s="908"/>
      <c r="C705" s="908"/>
      <c r="D705" s="908"/>
      <c r="E705" s="908"/>
      <c r="F705" s="908"/>
      <c r="G705" s="908"/>
      <c r="H705" s="908"/>
      <c r="I705" s="908"/>
      <c r="J705" s="908"/>
      <c r="K705" s="900"/>
      <c r="L705" s="900"/>
    </row>
    <row r="706" spans="1:12" ht="15.75" customHeight="1">
      <c r="A706" s="908"/>
      <c r="B706" s="908"/>
      <c r="C706" s="908"/>
      <c r="D706" s="908"/>
      <c r="E706" s="908"/>
      <c r="F706" s="908"/>
      <c r="G706" s="908"/>
      <c r="H706" s="908"/>
      <c r="I706" s="908"/>
      <c r="J706" s="908"/>
      <c r="K706" s="900"/>
      <c r="L706" s="900"/>
    </row>
    <row r="707" spans="1:12" ht="15.75" customHeight="1">
      <c r="A707" s="908"/>
      <c r="B707" s="908"/>
      <c r="C707" s="908"/>
      <c r="D707" s="908"/>
      <c r="E707" s="908"/>
      <c r="F707" s="908"/>
      <c r="G707" s="908"/>
      <c r="H707" s="908"/>
      <c r="I707" s="908"/>
      <c r="J707" s="908"/>
      <c r="K707" s="900"/>
      <c r="L707" s="900"/>
    </row>
    <row r="708" spans="1:12" ht="15.75" customHeight="1">
      <c r="A708" s="908"/>
      <c r="B708" s="908"/>
      <c r="C708" s="908"/>
      <c r="D708" s="908"/>
      <c r="E708" s="908"/>
      <c r="F708" s="908"/>
      <c r="G708" s="908"/>
      <c r="H708" s="908"/>
      <c r="I708" s="908"/>
      <c r="J708" s="908"/>
      <c r="K708" s="900"/>
      <c r="L708" s="900"/>
    </row>
    <row r="709" spans="1:12" ht="15.75" customHeight="1">
      <c r="A709" s="908"/>
      <c r="B709" s="908"/>
      <c r="C709" s="908"/>
      <c r="D709" s="908"/>
      <c r="E709" s="908"/>
      <c r="F709" s="908"/>
      <c r="G709" s="908"/>
      <c r="H709" s="908"/>
      <c r="I709" s="908"/>
      <c r="J709" s="908"/>
      <c r="K709" s="900"/>
      <c r="L709" s="900"/>
    </row>
    <row r="710" spans="1:12" ht="15.75" customHeight="1">
      <c r="A710" s="908"/>
      <c r="B710" s="908"/>
      <c r="C710" s="908"/>
      <c r="D710" s="908"/>
      <c r="E710" s="908"/>
      <c r="F710" s="908"/>
      <c r="G710" s="908"/>
      <c r="H710" s="908"/>
      <c r="I710" s="908"/>
      <c r="J710" s="908"/>
      <c r="K710" s="900"/>
      <c r="L710" s="900"/>
    </row>
    <row r="711" spans="1:12" ht="15.75" customHeight="1">
      <c r="A711" s="908"/>
      <c r="B711" s="908"/>
      <c r="C711" s="908"/>
      <c r="D711" s="908"/>
      <c r="E711" s="908"/>
      <c r="F711" s="908"/>
      <c r="G711" s="908"/>
      <c r="H711" s="908"/>
      <c r="I711" s="908"/>
      <c r="J711" s="908"/>
      <c r="K711" s="900"/>
      <c r="L711" s="900"/>
    </row>
    <row r="712" spans="1:12" ht="15.75" customHeight="1">
      <c r="A712" s="908"/>
      <c r="B712" s="908"/>
      <c r="C712" s="908"/>
      <c r="D712" s="908"/>
      <c r="E712" s="908"/>
      <c r="F712" s="908"/>
      <c r="G712" s="908"/>
      <c r="H712" s="908"/>
      <c r="I712" s="908"/>
      <c r="J712" s="908"/>
      <c r="K712" s="900"/>
      <c r="L712" s="900"/>
    </row>
    <row r="713" spans="1:12" ht="15.75" customHeight="1">
      <c r="A713" s="908"/>
      <c r="B713" s="908"/>
      <c r="C713" s="908"/>
      <c r="D713" s="908"/>
      <c r="E713" s="908"/>
      <c r="F713" s="908"/>
      <c r="G713" s="908"/>
      <c r="H713" s="908"/>
      <c r="I713" s="908"/>
      <c r="J713" s="908"/>
      <c r="K713" s="900"/>
      <c r="L713" s="900"/>
    </row>
    <row r="714" spans="1:12" ht="15.75" customHeight="1">
      <c r="A714" s="908"/>
      <c r="B714" s="908"/>
      <c r="C714" s="908"/>
      <c r="D714" s="908"/>
      <c r="E714" s="908"/>
      <c r="F714" s="908"/>
      <c r="G714" s="908"/>
      <c r="H714" s="908"/>
      <c r="I714" s="908"/>
      <c r="J714" s="908"/>
      <c r="K714" s="900"/>
      <c r="L714" s="900"/>
    </row>
    <row r="715" spans="1:12" ht="15.75" customHeight="1">
      <c r="A715" s="908"/>
      <c r="B715" s="908"/>
      <c r="C715" s="908"/>
      <c r="D715" s="908"/>
      <c r="E715" s="908"/>
      <c r="F715" s="908"/>
      <c r="G715" s="908"/>
      <c r="H715" s="908"/>
      <c r="I715" s="908"/>
      <c r="J715" s="908"/>
      <c r="K715" s="900"/>
      <c r="L715" s="900"/>
    </row>
    <row r="716" spans="1:12" ht="15.75" customHeight="1">
      <c r="A716" s="908"/>
      <c r="B716" s="908"/>
      <c r="C716" s="908"/>
      <c r="D716" s="908"/>
      <c r="E716" s="908"/>
      <c r="F716" s="908"/>
      <c r="G716" s="908"/>
      <c r="H716" s="908"/>
      <c r="I716" s="908"/>
      <c r="J716" s="908"/>
      <c r="K716" s="900"/>
      <c r="L716" s="900"/>
    </row>
    <row r="717" spans="1:12" ht="15.75" customHeight="1">
      <c r="A717" s="908"/>
      <c r="B717" s="908"/>
      <c r="C717" s="908"/>
      <c r="D717" s="908"/>
      <c r="E717" s="908"/>
      <c r="F717" s="908"/>
      <c r="G717" s="908"/>
      <c r="H717" s="908"/>
      <c r="I717" s="908"/>
      <c r="J717" s="908"/>
      <c r="K717" s="900"/>
      <c r="L717" s="900"/>
    </row>
    <row r="718" spans="1:12" ht="15.75" customHeight="1">
      <c r="A718" s="908"/>
      <c r="B718" s="908"/>
      <c r="C718" s="908"/>
      <c r="D718" s="908"/>
      <c r="E718" s="908"/>
      <c r="F718" s="908"/>
      <c r="G718" s="908"/>
      <c r="H718" s="908"/>
      <c r="I718" s="908"/>
      <c r="J718" s="908"/>
      <c r="K718" s="900"/>
      <c r="L718" s="900"/>
    </row>
    <row r="719" spans="1:12" ht="15.75" customHeight="1">
      <c r="A719" s="908"/>
      <c r="B719" s="908"/>
      <c r="C719" s="908"/>
      <c r="D719" s="908"/>
      <c r="E719" s="908"/>
      <c r="F719" s="908"/>
      <c r="G719" s="908"/>
      <c r="H719" s="908"/>
      <c r="I719" s="908"/>
      <c r="J719" s="908"/>
      <c r="K719" s="900"/>
      <c r="L719" s="900"/>
    </row>
    <row r="720" spans="1:12" ht="15.75" customHeight="1">
      <c r="A720" s="908"/>
      <c r="B720" s="908"/>
      <c r="C720" s="908"/>
      <c r="D720" s="908"/>
      <c r="E720" s="908"/>
      <c r="F720" s="908"/>
      <c r="G720" s="908"/>
      <c r="H720" s="908"/>
      <c r="I720" s="908"/>
      <c r="J720" s="908"/>
      <c r="K720" s="900"/>
      <c r="L720" s="900"/>
    </row>
    <row r="721" spans="1:12" ht="15.75" customHeight="1">
      <c r="A721" s="908"/>
      <c r="B721" s="908"/>
      <c r="C721" s="908"/>
      <c r="D721" s="908"/>
      <c r="E721" s="908"/>
      <c r="F721" s="908"/>
      <c r="G721" s="908"/>
      <c r="H721" s="908"/>
      <c r="I721" s="908"/>
      <c r="J721" s="908"/>
      <c r="K721" s="900"/>
      <c r="L721" s="900"/>
    </row>
    <row r="722" spans="1:12" ht="15.75" customHeight="1">
      <c r="A722" s="908"/>
      <c r="B722" s="908"/>
      <c r="C722" s="908"/>
      <c r="D722" s="908"/>
      <c r="E722" s="908"/>
      <c r="F722" s="908"/>
      <c r="G722" s="908"/>
      <c r="H722" s="908"/>
      <c r="I722" s="908"/>
      <c r="J722" s="908"/>
      <c r="K722" s="900"/>
      <c r="L722" s="900"/>
    </row>
    <row r="723" spans="1:12" ht="15.75" customHeight="1">
      <c r="A723" s="908"/>
      <c r="B723" s="908"/>
      <c r="C723" s="908"/>
      <c r="D723" s="908"/>
      <c r="E723" s="908"/>
      <c r="F723" s="908"/>
      <c r="G723" s="908"/>
      <c r="H723" s="908"/>
      <c r="I723" s="908"/>
      <c r="J723" s="908"/>
      <c r="K723" s="900"/>
      <c r="L723" s="900"/>
    </row>
    <row r="724" spans="1:12" ht="15.75" customHeight="1">
      <c r="A724" s="908"/>
      <c r="B724" s="908"/>
      <c r="C724" s="908"/>
      <c r="D724" s="908"/>
      <c r="E724" s="908"/>
      <c r="F724" s="908"/>
      <c r="G724" s="908"/>
      <c r="H724" s="908"/>
      <c r="I724" s="908"/>
      <c r="J724" s="908"/>
      <c r="K724" s="900"/>
      <c r="L724" s="900"/>
    </row>
    <row r="725" spans="1:12" ht="15.75" customHeight="1">
      <c r="A725" s="908"/>
      <c r="B725" s="908"/>
      <c r="C725" s="908"/>
      <c r="D725" s="908"/>
      <c r="E725" s="908"/>
      <c r="F725" s="908"/>
      <c r="G725" s="908"/>
      <c r="H725" s="908"/>
      <c r="I725" s="908"/>
      <c r="J725" s="908"/>
      <c r="K725" s="900"/>
      <c r="L725" s="900"/>
    </row>
    <row r="726" spans="1:12" ht="15.75" customHeight="1">
      <c r="A726" s="908"/>
      <c r="B726" s="908"/>
      <c r="C726" s="908"/>
      <c r="D726" s="908"/>
      <c r="E726" s="908"/>
      <c r="F726" s="908"/>
      <c r="G726" s="908"/>
      <c r="H726" s="908"/>
      <c r="I726" s="908"/>
      <c r="J726" s="908"/>
      <c r="K726" s="900"/>
      <c r="L726" s="900"/>
    </row>
    <row r="727" spans="1:12" ht="15.75" customHeight="1">
      <c r="A727" s="908"/>
      <c r="B727" s="908"/>
      <c r="C727" s="908"/>
      <c r="D727" s="908"/>
      <c r="E727" s="908"/>
      <c r="F727" s="908"/>
      <c r="G727" s="908"/>
      <c r="H727" s="908"/>
      <c r="I727" s="908"/>
      <c r="J727" s="908"/>
      <c r="K727" s="900"/>
      <c r="L727" s="900"/>
    </row>
    <row r="728" spans="1:12" ht="15.75" customHeight="1">
      <c r="A728" s="908"/>
      <c r="B728" s="908"/>
      <c r="C728" s="908"/>
      <c r="D728" s="908"/>
      <c r="E728" s="908"/>
      <c r="F728" s="908"/>
      <c r="G728" s="908"/>
      <c r="H728" s="908"/>
      <c r="I728" s="908"/>
      <c r="J728" s="908"/>
      <c r="K728" s="900"/>
      <c r="L728" s="900"/>
    </row>
    <row r="729" spans="1:12" ht="15.75" customHeight="1">
      <c r="A729" s="908"/>
      <c r="B729" s="908"/>
      <c r="C729" s="908"/>
      <c r="D729" s="908"/>
      <c r="E729" s="908"/>
      <c r="F729" s="908"/>
      <c r="G729" s="908"/>
      <c r="H729" s="908"/>
      <c r="I729" s="908"/>
      <c r="J729" s="908"/>
      <c r="K729" s="900"/>
      <c r="L729" s="900"/>
    </row>
    <row r="730" spans="1:12" ht="15.75" customHeight="1">
      <c r="A730" s="908"/>
      <c r="B730" s="908"/>
      <c r="C730" s="908"/>
      <c r="D730" s="908"/>
      <c r="E730" s="908"/>
      <c r="F730" s="908"/>
      <c r="G730" s="908"/>
      <c r="H730" s="908"/>
      <c r="I730" s="908"/>
      <c r="J730" s="908"/>
      <c r="K730" s="900"/>
      <c r="L730" s="900"/>
    </row>
    <row r="731" spans="1:12" ht="15.75" customHeight="1">
      <c r="A731" s="908"/>
      <c r="B731" s="908"/>
      <c r="C731" s="908"/>
      <c r="D731" s="908"/>
      <c r="E731" s="908"/>
      <c r="F731" s="908"/>
      <c r="G731" s="908"/>
      <c r="H731" s="908"/>
      <c r="I731" s="908"/>
      <c r="J731" s="908"/>
      <c r="K731" s="900"/>
      <c r="L731" s="900"/>
    </row>
    <row r="732" spans="1:12" ht="15.75" customHeight="1">
      <c r="A732" s="908"/>
      <c r="B732" s="908"/>
      <c r="C732" s="908"/>
      <c r="D732" s="908"/>
      <c r="E732" s="908"/>
      <c r="F732" s="908"/>
      <c r="G732" s="908"/>
      <c r="H732" s="908"/>
      <c r="I732" s="908"/>
      <c r="J732" s="908"/>
      <c r="K732" s="900"/>
      <c r="L732" s="900"/>
    </row>
    <row r="733" spans="1:12" ht="15.75" customHeight="1">
      <c r="A733" s="908"/>
      <c r="B733" s="908"/>
      <c r="C733" s="908"/>
      <c r="D733" s="908"/>
      <c r="E733" s="908"/>
      <c r="F733" s="908"/>
      <c r="G733" s="908"/>
      <c r="H733" s="908"/>
      <c r="I733" s="908"/>
      <c r="J733" s="908"/>
      <c r="K733" s="900"/>
      <c r="L733" s="900"/>
    </row>
    <row r="734" spans="1:12" ht="15.75" customHeight="1">
      <c r="A734" s="908"/>
      <c r="B734" s="908"/>
      <c r="C734" s="908"/>
      <c r="D734" s="908"/>
      <c r="E734" s="908"/>
      <c r="F734" s="908"/>
      <c r="G734" s="908"/>
      <c r="H734" s="908"/>
      <c r="I734" s="908"/>
      <c r="J734" s="908"/>
      <c r="K734" s="900"/>
      <c r="L734" s="900"/>
    </row>
    <row r="735" spans="1:12" ht="15.75" customHeight="1">
      <c r="A735" s="908"/>
      <c r="B735" s="908"/>
      <c r="C735" s="908"/>
      <c r="D735" s="908"/>
      <c r="E735" s="908"/>
      <c r="F735" s="908"/>
      <c r="G735" s="908"/>
      <c r="H735" s="908"/>
      <c r="I735" s="908"/>
      <c r="J735" s="908"/>
      <c r="K735" s="900"/>
      <c r="L735" s="900"/>
    </row>
    <row r="736" spans="1:12" ht="15.75" customHeight="1">
      <c r="A736" s="908"/>
      <c r="B736" s="908"/>
      <c r="C736" s="908"/>
      <c r="D736" s="908"/>
      <c r="E736" s="908"/>
      <c r="F736" s="908"/>
      <c r="G736" s="908"/>
      <c r="H736" s="908"/>
      <c r="I736" s="908"/>
      <c r="J736" s="908"/>
      <c r="K736" s="900"/>
      <c r="L736" s="900"/>
    </row>
    <row r="737" spans="1:12" ht="15.75" customHeight="1">
      <c r="A737" s="908"/>
      <c r="B737" s="908"/>
      <c r="C737" s="908"/>
      <c r="D737" s="908"/>
      <c r="E737" s="908"/>
      <c r="F737" s="908"/>
      <c r="G737" s="908"/>
      <c r="H737" s="908"/>
      <c r="I737" s="908"/>
      <c r="J737" s="908"/>
      <c r="K737" s="900"/>
      <c r="L737" s="900"/>
    </row>
    <row r="738" spans="1:12" ht="15.75" customHeight="1">
      <c r="A738" s="908"/>
      <c r="B738" s="908"/>
      <c r="C738" s="908"/>
      <c r="D738" s="908"/>
      <c r="E738" s="908"/>
      <c r="F738" s="908"/>
      <c r="G738" s="908"/>
      <c r="H738" s="908"/>
      <c r="I738" s="908"/>
      <c r="J738" s="908"/>
      <c r="K738" s="900"/>
      <c r="L738" s="900"/>
    </row>
    <row r="739" spans="1:12" ht="15.75" customHeight="1">
      <c r="A739" s="908"/>
      <c r="B739" s="908"/>
      <c r="C739" s="908"/>
      <c r="D739" s="908"/>
      <c r="E739" s="908"/>
      <c r="F739" s="908"/>
      <c r="G739" s="908"/>
      <c r="H739" s="908"/>
      <c r="I739" s="908"/>
      <c r="J739" s="908"/>
      <c r="K739" s="900"/>
      <c r="L739" s="900"/>
    </row>
    <row r="740" spans="1:12" ht="15.75" customHeight="1">
      <c r="A740" s="908"/>
      <c r="B740" s="908"/>
      <c r="C740" s="908"/>
      <c r="D740" s="908"/>
      <c r="E740" s="908"/>
      <c r="F740" s="908"/>
      <c r="G740" s="908"/>
      <c r="H740" s="908"/>
      <c r="I740" s="908"/>
      <c r="J740" s="908"/>
      <c r="K740" s="900"/>
      <c r="L740" s="900"/>
    </row>
    <row r="741" spans="1:12" ht="15.75" customHeight="1">
      <c r="A741" s="908"/>
      <c r="B741" s="908"/>
      <c r="C741" s="908"/>
      <c r="D741" s="908"/>
      <c r="E741" s="908"/>
      <c r="F741" s="908"/>
      <c r="G741" s="908"/>
      <c r="H741" s="908"/>
      <c r="I741" s="908"/>
      <c r="J741" s="908"/>
      <c r="K741" s="900"/>
      <c r="L741" s="900"/>
    </row>
    <row r="742" spans="1:12" ht="15.75" customHeight="1">
      <c r="A742" s="908"/>
      <c r="B742" s="908"/>
      <c r="C742" s="908"/>
      <c r="D742" s="908"/>
      <c r="E742" s="908"/>
      <c r="F742" s="908"/>
      <c r="G742" s="908"/>
      <c r="H742" s="908"/>
      <c r="I742" s="908"/>
      <c r="J742" s="908"/>
      <c r="K742" s="900"/>
      <c r="L742" s="900"/>
    </row>
    <row r="743" spans="1:12" ht="15.75" customHeight="1">
      <c r="A743" s="908"/>
      <c r="B743" s="908"/>
      <c r="C743" s="908"/>
      <c r="D743" s="908"/>
      <c r="E743" s="908"/>
      <c r="F743" s="908"/>
      <c r="G743" s="908"/>
      <c r="H743" s="908"/>
      <c r="I743" s="908"/>
      <c r="J743" s="908"/>
      <c r="K743" s="900"/>
      <c r="L743" s="900"/>
    </row>
    <row r="744" spans="1:12" ht="15.75" customHeight="1">
      <c r="A744" s="908"/>
      <c r="B744" s="908"/>
      <c r="C744" s="908"/>
      <c r="D744" s="908"/>
      <c r="E744" s="908"/>
      <c r="F744" s="908"/>
      <c r="G744" s="908"/>
      <c r="H744" s="908"/>
      <c r="I744" s="908"/>
      <c r="J744" s="908"/>
      <c r="K744" s="900"/>
      <c r="L744" s="900"/>
    </row>
    <row r="745" spans="1:12" ht="15.75" customHeight="1">
      <c r="A745" s="908"/>
      <c r="B745" s="908"/>
      <c r="C745" s="908"/>
      <c r="D745" s="908"/>
      <c r="E745" s="908"/>
      <c r="F745" s="908"/>
      <c r="G745" s="908"/>
      <c r="H745" s="908"/>
      <c r="I745" s="908"/>
      <c r="J745" s="908"/>
      <c r="K745" s="900"/>
      <c r="L745" s="900"/>
    </row>
    <row r="746" spans="1:12" ht="15.75" customHeight="1">
      <c r="A746" s="908"/>
      <c r="B746" s="908"/>
      <c r="C746" s="908"/>
      <c r="D746" s="908"/>
      <c r="E746" s="908"/>
      <c r="F746" s="908"/>
      <c r="G746" s="908"/>
      <c r="H746" s="908"/>
      <c r="I746" s="908"/>
      <c r="J746" s="908"/>
      <c r="K746" s="900"/>
      <c r="L746" s="900"/>
    </row>
    <row r="747" spans="1:12" ht="15.75" customHeight="1">
      <c r="A747" s="908"/>
      <c r="B747" s="908"/>
      <c r="C747" s="908"/>
      <c r="D747" s="908"/>
      <c r="E747" s="908"/>
      <c r="F747" s="908"/>
      <c r="G747" s="908"/>
      <c r="H747" s="908"/>
      <c r="I747" s="908"/>
      <c r="J747" s="908"/>
      <c r="K747" s="900"/>
      <c r="L747" s="900"/>
    </row>
    <row r="748" spans="1:12" ht="15.75" customHeight="1">
      <c r="A748" s="908"/>
      <c r="B748" s="908"/>
      <c r="C748" s="908"/>
      <c r="D748" s="908"/>
      <c r="E748" s="908"/>
      <c r="F748" s="908"/>
      <c r="G748" s="908"/>
      <c r="H748" s="908"/>
      <c r="I748" s="908"/>
      <c r="J748" s="908"/>
      <c r="K748" s="900"/>
      <c r="L748" s="900"/>
    </row>
    <row r="749" spans="1:12" ht="15.75" customHeight="1">
      <c r="A749" s="908"/>
      <c r="B749" s="908"/>
      <c r="C749" s="908"/>
      <c r="D749" s="908"/>
      <c r="E749" s="908"/>
      <c r="F749" s="908"/>
      <c r="G749" s="908"/>
      <c r="H749" s="908"/>
      <c r="I749" s="908"/>
      <c r="J749" s="908"/>
      <c r="K749" s="900"/>
      <c r="L749" s="900"/>
    </row>
    <row r="750" spans="1:12" ht="15.75" customHeight="1">
      <c r="A750" s="908"/>
      <c r="B750" s="908"/>
      <c r="C750" s="908"/>
      <c r="D750" s="908"/>
      <c r="E750" s="908"/>
      <c r="F750" s="908"/>
      <c r="G750" s="908"/>
      <c r="H750" s="908"/>
      <c r="I750" s="908"/>
      <c r="J750" s="908"/>
      <c r="K750" s="900"/>
      <c r="L750" s="900"/>
    </row>
    <row r="751" spans="1:12" ht="15.75" customHeight="1">
      <c r="A751" s="908"/>
      <c r="B751" s="908"/>
      <c r="C751" s="908"/>
      <c r="D751" s="908"/>
      <c r="E751" s="908"/>
      <c r="F751" s="908"/>
      <c r="G751" s="908"/>
      <c r="H751" s="908"/>
      <c r="I751" s="908"/>
      <c r="J751" s="908"/>
      <c r="K751" s="900"/>
      <c r="L751" s="900"/>
    </row>
    <row r="752" spans="1:12" ht="15.75" customHeight="1">
      <c r="A752" s="908"/>
      <c r="B752" s="908"/>
      <c r="C752" s="908"/>
      <c r="D752" s="908"/>
      <c r="E752" s="908"/>
      <c r="F752" s="908"/>
      <c r="G752" s="908"/>
      <c r="H752" s="908"/>
      <c r="I752" s="908"/>
      <c r="J752" s="908"/>
      <c r="K752" s="900"/>
      <c r="L752" s="900"/>
    </row>
    <row r="753" spans="1:12" ht="15.75" customHeight="1">
      <c r="A753" s="908"/>
      <c r="B753" s="908"/>
      <c r="C753" s="908"/>
      <c r="D753" s="908"/>
      <c r="E753" s="908"/>
      <c r="F753" s="908"/>
      <c r="G753" s="908"/>
      <c r="H753" s="908"/>
      <c r="I753" s="908"/>
      <c r="J753" s="908"/>
      <c r="K753" s="900"/>
      <c r="L753" s="900"/>
    </row>
    <row r="754" spans="1:12" ht="15.75" customHeight="1">
      <c r="A754" s="908"/>
      <c r="B754" s="908"/>
      <c r="C754" s="908"/>
      <c r="D754" s="908"/>
      <c r="E754" s="908"/>
      <c r="F754" s="908"/>
      <c r="G754" s="908"/>
      <c r="H754" s="908"/>
      <c r="I754" s="908"/>
      <c r="J754" s="908"/>
      <c r="K754" s="900"/>
      <c r="L754" s="900"/>
    </row>
    <row r="755" spans="1:12" ht="15.75" customHeight="1">
      <c r="A755" s="908"/>
      <c r="B755" s="908"/>
      <c r="C755" s="908"/>
      <c r="D755" s="908"/>
      <c r="E755" s="908"/>
      <c r="F755" s="908"/>
      <c r="G755" s="908"/>
      <c r="H755" s="908"/>
      <c r="I755" s="908"/>
      <c r="J755" s="908"/>
      <c r="K755" s="900"/>
      <c r="L755" s="900"/>
    </row>
    <row r="756" spans="1:12" ht="15.75" customHeight="1">
      <c r="A756" s="908"/>
      <c r="B756" s="908"/>
      <c r="C756" s="908"/>
      <c r="D756" s="908"/>
      <c r="E756" s="908"/>
      <c r="F756" s="908"/>
      <c r="G756" s="908"/>
      <c r="H756" s="908"/>
      <c r="I756" s="908"/>
      <c r="J756" s="908"/>
      <c r="K756" s="900"/>
      <c r="L756" s="900"/>
    </row>
    <row r="757" spans="1:12" ht="15.75" customHeight="1">
      <c r="A757" s="908"/>
      <c r="B757" s="908"/>
      <c r="C757" s="908"/>
      <c r="D757" s="908"/>
      <c r="E757" s="908"/>
      <c r="F757" s="908"/>
      <c r="G757" s="908"/>
      <c r="H757" s="908"/>
      <c r="I757" s="908"/>
      <c r="J757" s="908"/>
      <c r="K757" s="900"/>
      <c r="L757" s="900"/>
    </row>
    <row r="758" spans="1:12" ht="15.75" customHeight="1">
      <c r="A758" s="908"/>
      <c r="B758" s="908"/>
      <c r="C758" s="908"/>
      <c r="D758" s="908"/>
      <c r="E758" s="908"/>
      <c r="F758" s="908"/>
      <c r="G758" s="908"/>
      <c r="H758" s="908"/>
      <c r="I758" s="908"/>
      <c r="J758" s="908"/>
      <c r="K758" s="900"/>
      <c r="L758" s="900"/>
    </row>
    <row r="759" spans="1:12" ht="15.75" customHeight="1">
      <c r="A759" s="908"/>
      <c r="B759" s="908"/>
      <c r="C759" s="908"/>
      <c r="D759" s="908"/>
      <c r="E759" s="908"/>
      <c r="F759" s="908"/>
      <c r="G759" s="908"/>
      <c r="H759" s="908"/>
      <c r="I759" s="908"/>
      <c r="J759" s="908"/>
      <c r="K759" s="900"/>
      <c r="L759" s="900"/>
    </row>
    <row r="760" spans="1:12" ht="15.75" customHeight="1">
      <c r="A760" s="908"/>
      <c r="B760" s="908"/>
      <c r="C760" s="908"/>
      <c r="D760" s="908"/>
      <c r="E760" s="908"/>
      <c r="F760" s="908"/>
      <c r="G760" s="908"/>
      <c r="H760" s="908"/>
      <c r="I760" s="908"/>
      <c r="J760" s="908"/>
      <c r="K760" s="900"/>
      <c r="L760" s="900"/>
    </row>
    <row r="761" spans="1:12" ht="15.75" customHeight="1">
      <c r="A761" s="908"/>
      <c r="B761" s="908"/>
      <c r="C761" s="908"/>
      <c r="D761" s="908"/>
      <c r="E761" s="908"/>
      <c r="F761" s="908"/>
      <c r="G761" s="908"/>
      <c r="H761" s="908"/>
      <c r="I761" s="908"/>
      <c r="J761" s="908"/>
      <c r="K761" s="900"/>
      <c r="L761" s="900"/>
    </row>
    <row r="762" spans="1:12" ht="15.75" customHeight="1">
      <c r="A762" s="908"/>
      <c r="B762" s="908"/>
      <c r="C762" s="908"/>
      <c r="D762" s="908"/>
      <c r="E762" s="908"/>
      <c r="F762" s="908"/>
      <c r="G762" s="908"/>
      <c r="H762" s="908"/>
      <c r="I762" s="908"/>
      <c r="J762" s="908"/>
      <c r="K762" s="900"/>
      <c r="L762" s="900"/>
    </row>
    <row r="763" spans="1:12" ht="15.75" customHeight="1">
      <c r="A763" s="908"/>
      <c r="B763" s="908"/>
      <c r="C763" s="908"/>
      <c r="D763" s="908"/>
      <c r="E763" s="908"/>
      <c r="F763" s="908"/>
      <c r="G763" s="908"/>
      <c r="H763" s="908"/>
      <c r="I763" s="908"/>
      <c r="J763" s="908"/>
      <c r="K763" s="900"/>
      <c r="L763" s="900"/>
    </row>
    <row r="764" spans="1:12" ht="15.75" customHeight="1">
      <c r="A764" s="908"/>
      <c r="B764" s="908"/>
      <c r="C764" s="908"/>
      <c r="D764" s="908"/>
      <c r="E764" s="908"/>
      <c r="F764" s="908"/>
      <c r="G764" s="908"/>
      <c r="H764" s="908"/>
      <c r="I764" s="908"/>
      <c r="J764" s="908"/>
      <c r="K764" s="900"/>
      <c r="L764" s="900"/>
    </row>
    <row r="765" spans="1:12" ht="15.75" customHeight="1">
      <c r="A765" s="908"/>
      <c r="B765" s="908"/>
      <c r="C765" s="908"/>
      <c r="D765" s="908"/>
      <c r="E765" s="908"/>
      <c r="F765" s="908"/>
      <c r="G765" s="908"/>
      <c r="H765" s="908"/>
      <c r="I765" s="908"/>
      <c r="J765" s="908"/>
      <c r="K765" s="900"/>
      <c r="L765" s="900"/>
    </row>
    <row r="766" spans="1:12" ht="15.75" customHeight="1">
      <c r="A766" s="908"/>
      <c r="B766" s="908"/>
      <c r="C766" s="908"/>
      <c r="D766" s="908"/>
      <c r="E766" s="908"/>
      <c r="F766" s="908"/>
      <c r="G766" s="908"/>
      <c r="H766" s="908"/>
      <c r="I766" s="908"/>
      <c r="J766" s="908"/>
      <c r="K766" s="900"/>
      <c r="L766" s="900"/>
    </row>
    <row r="767" spans="1:12" ht="15.75" customHeight="1">
      <c r="A767" s="908"/>
      <c r="B767" s="908"/>
      <c r="C767" s="908"/>
      <c r="D767" s="908"/>
      <c r="E767" s="908"/>
      <c r="F767" s="908"/>
      <c r="G767" s="908"/>
      <c r="H767" s="908"/>
      <c r="I767" s="908"/>
      <c r="J767" s="908"/>
      <c r="K767" s="900"/>
      <c r="L767" s="900"/>
    </row>
    <row r="768" spans="1:12" ht="15.75" customHeight="1">
      <c r="A768" s="908"/>
      <c r="B768" s="908"/>
      <c r="C768" s="908"/>
      <c r="D768" s="908"/>
      <c r="E768" s="908"/>
      <c r="F768" s="908"/>
      <c r="G768" s="908"/>
      <c r="H768" s="908"/>
      <c r="I768" s="908"/>
      <c r="J768" s="908"/>
      <c r="K768" s="900"/>
      <c r="L768" s="900"/>
    </row>
    <row r="769" spans="1:12" ht="15.75" customHeight="1">
      <c r="A769" s="908"/>
      <c r="B769" s="908"/>
      <c r="C769" s="908"/>
      <c r="D769" s="908"/>
      <c r="E769" s="908"/>
      <c r="F769" s="908"/>
      <c r="G769" s="908"/>
      <c r="H769" s="908"/>
      <c r="I769" s="908"/>
      <c r="J769" s="908"/>
      <c r="K769" s="900"/>
      <c r="L769" s="900"/>
    </row>
    <row r="770" spans="1:12" ht="15.75" customHeight="1">
      <c r="A770" s="908"/>
      <c r="B770" s="908"/>
      <c r="C770" s="908"/>
      <c r="D770" s="908"/>
      <c r="E770" s="908"/>
      <c r="F770" s="908"/>
      <c r="G770" s="908"/>
      <c r="H770" s="908"/>
      <c r="I770" s="908"/>
      <c r="J770" s="908"/>
      <c r="K770" s="900"/>
      <c r="L770" s="900"/>
    </row>
    <row r="771" spans="1:12" ht="15.75" customHeight="1">
      <c r="A771" s="908"/>
      <c r="B771" s="908"/>
      <c r="C771" s="908"/>
      <c r="D771" s="908"/>
      <c r="E771" s="908"/>
      <c r="F771" s="908"/>
      <c r="G771" s="908"/>
      <c r="H771" s="908"/>
      <c r="I771" s="908"/>
      <c r="J771" s="908"/>
      <c r="K771" s="900"/>
      <c r="L771" s="900"/>
    </row>
    <row r="772" spans="1:12" ht="15.75" customHeight="1">
      <c r="A772" s="908"/>
      <c r="B772" s="908"/>
      <c r="C772" s="908"/>
      <c r="D772" s="908"/>
      <c r="E772" s="908"/>
      <c r="F772" s="908"/>
      <c r="G772" s="908"/>
      <c r="H772" s="908"/>
      <c r="I772" s="908"/>
      <c r="J772" s="908"/>
      <c r="K772" s="900"/>
      <c r="L772" s="900"/>
    </row>
    <row r="773" spans="1:12" ht="15.75" customHeight="1">
      <c r="A773" s="908"/>
      <c r="B773" s="908"/>
      <c r="C773" s="908"/>
      <c r="D773" s="908"/>
      <c r="E773" s="908"/>
      <c r="F773" s="908"/>
      <c r="G773" s="908"/>
      <c r="H773" s="908"/>
      <c r="I773" s="908"/>
      <c r="J773" s="908"/>
      <c r="K773" s="900"/>
      <c r="L773" s="900"/>
    </row>
    <row r="774" spans="1:12" ht="15.75" customHeight="1">
      <c r="A774" s="908"/>
      <c r="B774" s="908"/>
      <c r="C774" s="908"/>
      <c r="D774" s="908"/>
      <c r="E774" s="908"/>
      <c r="F774" s="908"/>
      <c r="G774" s="908"/>
      <c r="H774" s="908"/>
      <c r="I774" s="908"/>
      <c r="J774" s="908"/>
      <c r="K774" s="900"/>
      <c r="L774" s="900"/>
    </row>
    <row r="775" spans="1:12" ht="15.75" customHeight="1">
      <c r="A775" s="908"/>
      <c r="B775" s="908"/>
      <c r="C775" s="908"/>
      <c r="D775" s="908"/>
      <c r="E775" s="908"/>
      <c r="F775" s="908"/>
      <c r="G775" s="908"/>
      <c r="H775" s="908"/>
      <c r="I775" s="908"/>
      <c r="J775" s="908"/>
      <c r="K775" s="900"/>
      <c r="L775" s="900"/>
    </row>
    <row r="776" spans="1:12" ht="15.75" customHeight="1">
      <c r="A776" s="908"/>
      <c r="B776" s="908"/>
      <c r="C776" s="908"/>
      <c r="D776" s="908"/>
      <c r="E776" s="908"/>
      <c r="F776" s="908"/>
      <c r="G776" s="908"/>
      <c r="H776" s="908"/>
      <c r="I776" s="908"/>
      <c r="J776" s="908"/>
      <c r="K776" s="900"/>
      <c r="L776" s="900"/>
    </row>
    <row r="777" spans="1:12" ht="15.75" customHeight="1">
      <c r="A777" s="908"/>
      <c r="B777" s="908"/>
      <c r="C777" s="908"/>
      <c r="D777" s="908"/>
      <c r="E777" s="908"/>
      <c r="F777" s="908"/>
      <c r="G777" s="908"/>
      <c r="H777" s="908"/>
      <c r="I777" s="908"/>
      <c r="J777" s="908"/>
      <c r="K777" s="900"/>
      <c r="L777" s="900"/>
    </row>
    <row r="778" spans="1:12" ht="15.75" customHeight="1">
      <c r="A778" s="908"/>
      <c r="B778" s="908"/>
      <c r="C778" s="908"/>
      <c r="D778" s="908"/>
      <c r="E778" s="908"/>
      <c r="F778" s="908"/>
      <c r="G778" s="908"/>
      <c r="H778" s="908"/>
      <c r="I778" s="908"/>
      <c r="J778" s="908"/>
      <c r="K778" s="900"/>
      <c r="L778" s="900"/>
    </row>
    <row r="779" spans="1:12" ht="15.75" customHeight="1">
      <c r="A779" s="908"/>
      <c r="B779" s="908"/>
      <c r="C779" s="908"/>
      <c r="D779" s="908"/>
      <c r="E779" s="908"/>
      <c r="F779" s="908"/>
      <c r="G779" s="908"/>
      <c r="H779" s="908"/>
      <c r="I779" s="908"/>
      <c r="J779" s="908"/>
      <c r="K779" s="900"/>
      <c r="L779" s="900"/>
    </row>
    <row r="780" spans="1:12" ht="15.75" customHeight="1">
      <c r="A780" s="908"/>
      <c r="B780" s="908"/>
      <c r="C780" s="908"/>
      <c r="D780" s="908"/>
      <c r="E780" s="908"/>
      <c r="F780" s="908"/>
      <c r="G780" s="908"/>
      <c r="H780" s="908"/>
      <c r="I780" s="908"/>
      <c r="J780" s="908"/>
      <c r="K780" s="900"/>
      <c r="L780" s="900"/>
    </row>
    <row r="781" spans="1:12" ht="15.75" customHeight="1">
      <c r="A781" s="908"/>
      <c r="B781" s="908"/>
      <c r="C781" s="908"/>
      <c r="D781" s="908"/>
      <c r="E781" s="908"/>
      <c r="F781" s="908"/>
      <c r="G781" s="908"/>
      <c r="H781" s="908"/>
      <c r="I781" s="908"/>
      <c r="J781" s="908"/>
      <c r="K781" s="900"/>
      <c r="L781" s="900"/>
    </row>
    <row r="782" spans="1:12" ht="15.75" customHeight="1">
      <c r="A782" s="908"/>
      <c r="B782" s="908"/>
      <c r="C782" s="908"/>
      <c r="D782" s="908"/>
      <c r="E782" s="908"/>
      <c r="F782" s="908"/>
      <c r="G782" s="908"/>
      <c r="H782" s="908"/>
      <c r="I782" s="908"/>
      <c r="J782" s="908"/>
      <c r="K782" s="900"/>
      <c r="L782" s="900"/>
    </row>
    <row r="783" spans="1:12" ht="15.75" customHeight="1">
      <c r="A783" s="908"/>
      <c r="B783" s="908"/>
      <c r="C783" s="908"/>
      <c r="D783" s="908"/>
      <c r="E783" s="908"/>
      <c r="F783" s="908"/>
      <c r="G783" s="908"/>
      <c r="H783" s="908"/>
      <c r="I783" s="908"/>
      <c r="J783" s="908"/>
      <c r="K783" s="900"/>
      <c r="L783" s="900"/>
    </row>
    <row r="784" spans="1:12" ht="15.75" customHeight="1">
      <c r="A784" s="908"/>
      <c r="B784" s="908"/>
      <c r="C784" s="908"/>
      <c r="D784" s="908"/>
      <c r="E784" s="908"/>
      <c r="F784" s="908"/>
      <c r="G784" s="908"/>
      <c r="H784" s="908"/>
      <c r="I784" s="908"/>
      <c r="J784" s="908"/>
      <c r="K784" s="900"/>
      <c r="L784" s="900"/>
    </row>
    <row r="785" spans="1:12" ht="15.75" customHeight="1">
      <c r="A785" s="908"/>
      <c r="B785" s="908"/>
      <c r="C785" s="908"/>
      <c r="D785" s="908"/>
      <c r="E785" s="908"/>
      <c r="F785" s="908"/>
      <c r="G785" s="908"/>
      <c r="H785" s="908"/>
      <c r="I785" s="908"/>
      <c r="J785" s="908"/>
      <c r="K785" s="900"/>
      <c r="L785" s="900"/>
    </row>
    <row r="786" spans="1:12" ht="15.75" customHeight="1">
      <c r="A786" s="908"/>
      <c r="B786" s="908"/>
      <c r="C786" s="908"/>
      <c r="D786" s="908"/>
      <c r="E786" s="908"/>
      <c r="F786" s="908"/>
      <c r="G786" s="908"/>
      <c r="H786" s="908"/>
      <c r="I786" s="908"/>
      <c r="J786" s="908"/>
      <c r="K786" s="900"/>
      <c r="L786" s="900"/>
    </row>
    <row r="787" spans="1:12" ht="15.75" customHeight="1">
      <c r="A787" s="908"/>
      <c r="B787" s="908"/>
      <c r="C787" s="908"/>
      <c r="D787" s="908"/>
      <c r="E787" s="908"/>
      <c r="F787" s="908"/>
      <c r="G787" s="908"/>
      <c r="H787" s="908"/>
      <c r="I787" s="908"/>
      <c r="J787" s="908"/>
      <c r="K787" s="900"/>
      <c r="L787" s="900"/>
    </row>
    <row r="788" spans="1:12" ht="15.75" customHeight="1">
      <c r="A788" s="908"/>
      <c r="B788" s="908"/>
      <c r="C788" s="908"/>
      <c r="D788" s="908"/>
      <c r="E788" s="908"/>
      <c r="F788" s="908"/>
      <c r="G788" s="908"/>
      <c r="H788" s="908"/>
      <c r="I788" s="908"/>
      <c r="J788" s="908"/>
      <c r="K788" s="900"/>
      <c r="L788" s="900"/>
    </row>
    <row r="789" spans="1:12" ht="15.75" customHeight="1">
      <c r="A789" s="908"/>
      <c r="B789" s="908"/>
      <c r="C789" s="908"/>
      <c r="D789" s="908"/>
      <c r="E789" s="908"/>
      <c r="F789" s="908"/>
      <c r="G789" s="908"/>
      <c r="H789" s="908"/>
      <c r="I789" s="908"/>
      <c r="J789" s="908"/>
      <c r="K789" s="900"/>
      <c r="L789" s="900"/>
    </row>
    <row r="790" spans="1:12" ht="15.75" customHeight="1">
      <c r="A790" s="908"/>
      <c r="B790" s="908"/>
      <c r="C790" s="908"/>
      <c r="D790" s="908"/>
      <c r="E790" s="908"/>
      <c r="F790" s="908"/>
      <c r="G790" s="908"/>
      <c r="H790" s="908"/>
      <c r="I790" s="908"/>
      <c r="J790" s="908"/>
      <c r="K790" s="900"/>
      <c r="L790" s="900"/>
    </row>
    <row r="791" spans="1:12" ht="15.75" customHeight="1">
      <c r="A791" s="908"/>
      <c r="B791" s="908"/>
      <c r="C791" s="908"/>
      <c r="D791" s="908"/>
      <c r="E791" s="908"/>
      <c r="F791" s="908"/>
      <c r="G791" s="908"/>
      <c r="H791" s="908"/>
      <c r="I791" s="908"/>
      <c r="J791" s="908"/>
      <c r="K791" s="900"/>
      <c r="L791" s="900"/>
    </row>
    <row r="792" spans="1:12" ht="15.75" customHeight="1">
      <c r="A792" s="908"/>
      <c r="B792" s="908"/>
      <c r="C792" s="908"/>
      <c r="D792" s="908"/>
      <c r="E792" s="908"/>
      <c r="F792" s="908"/>
      <c r="G792" s="908"/>
      <c r="H792" s="908"/>
      <c r="I792" s="908"/>
      <c r="J792" s="908"/>
      <c r="K792" s="900"/>
      <c r="L792" s="900"/>
    </row>
    <row r="793" spans="1:12" ht="15.75" customHeight="1">
      <c r="A793" s="908"/>
      <c r="B793" s="908"/>
      <c r="C793" s="908"/>
      <c r="D793" s="908"/>
      <c r="E793" s="908"/>
      <c r="F793" s="908"/>
      <c r="G793" s="908"/>
      <c r="H793" s="908"/>
      <c r="I793" s="908"/>
      <c r="J793" s="908"/>
      <c r="K793" s="900"/>
      <c r="L793" s="900"/>
    </row>
    <row r="794" spans="1:12" ht="15.75" customHeight="1">
      <c r="A794" s="908"/>
      <c r="B794" s="908"/>
      <c r="C794" s="908"/>
      <c r="D794" s="908"/>
      <c r="E794" s="908"/>
      <c r="F794" s="908"/>
      <c r="G794" s="908"/>
      <c r="H794" s="908"/>
      <c r="I794" s="908"/>
      <c r="J794" s="908"/>
      <c r="K794" s="900"/>
      <c r="L794" s="900"/>
    </row>
    <row r="795" spans="1:12" ht="15.75" customHeight="1">
      <c r="A795" s="908"/>
      <c r="B795" s="908"/>
      <c r="C795" s="908"/>
      <c r="D795" s="908"/>
      <c r="E795" s="908"/>
      <c r="F795" s="908"/>
      <c r="G795" s="908"/>
      <c r="H795" s="908"/>
      <c r="I795" s="908"/>
      <c r="J795" s="908"/>
      <c r="K795" s="900"/>
      <c r="L795" s="900"/>
    </row>
    <row r="796" spans="1:12" ht="15.75" customHeight="1">
      <c r="A796" s="908"/>
      <c r="B796" s="908"/>
      <c r="C796" s="908"/>
      <c r="D796" s="908"/>
      <c r="E796" s="908"/>
      <c r="F796" s="908"/>
      <c r="G796" s="908"/>
      <c r="H796" s="908"/>
      <c r="I796" s="908"/>
      <c r="J796" s="908"/>
      <c r="K796" s="900"/>
      <c r="L796" s="900"/>
    </row>
    <row r="797" spans="1:12" ht="15.75" customHeight="1">
      <c r="A797" s="908"/>
      <c r="B797" s="908"/>
      <c r="C797" s="908"/>
      <c r="D797" s="908"/>
      <c r="E797" s="908"/>
      <c r="F797" s="908"/>
      <c r="G797" s="908"/>
      <c r="H797" s="908"/>
      <c r="I797" s="908"/>
      <c r="J797" s="908"/>
      <c r="K797" s="900"/>
      <c r="L797" s="900"/>
    </row>
    <row r="798" spans="1:12" ht="15.75" customHeight="1">
      <c r="A798" s="908"/>
      <c r="B798" s="908"/>
      <c r="C798" s="908"/>
      <c r="D798" s="908"/>
      <c r="E798" s="908"/>
      <c r="F798" s="908"/>
      <c r="G798" s="908"/>
      <c r="H798" s="908"/>
      <c r="I798" s="908"/>
      <c r="J798" s="908"/>
      <c r="K798" s="900"/>
      <c r="L798" s="900"/>
    </row>
    <row r="799" spans="1:12" ht="15.75" customHeight="1">
      <c r="A799" s="908"/>
      <c r="B799" s="908"/>
      <c r="C799" s="908"/>
      <c r="D799" s="908"/>
      <c r="E799" s="908"/>
      <c r="F799" s="908"/>
      <c r="G799" s="908"/>
      <c r="H799" s="908"/>
      <c r="I799" s="908"/>
      <c r="J799" s="908"/>
      <c r="K799" s="900"/>
      <c r="L799" s="900"/>
    </row>
    <row r="800" spans="1:12" ht="15.75" customHeight="1">
      <c r="A800" s="908"/>
      <c r="B800" s="908"/>
      <c r="C800" s="908"/>
      <c r="D800" s="908"/>
      <c r="E800" s="908"/>
      <c r="F800" s="908"/>
      <c r="G800" s="908"/>
      <c r="H800" s="908"/>
      <c r="I800" s="908"/>
      <c r="J800" s="908"/>
      <c r="K800" s="900"/>
      <c r="L800" s="900"/>
    </row>
    <row r="801" spans="1:12" ht="15.75" customHeight="1">
      <c r="A801" s="908"/>
      <c r="B801" s="908"/>
      <c r="C801" s="908"/>
      <c r="D801" s="908"/>
      <c r="E801" s="908"/>
      <c r="F801" s="908"/>
      <c r="G801" s="908"/>
      <c r="H801" s="908"/>
      <c r="I801" s="908"/>
      <c r="J801" s="908"/>
      <c r="K801" s="900"/>
      <c r="L801" s="900"/>
    </row>
    <row r="802" spans="1:12" ht="15.75" customHeight="1">
      <c r="A802" s="908"/>
      <c r="B802" s="908"/>
      <c r="C802" s="908"/>
      <c r="D802" s="908"/>
      <c r="E802" s="908"/>
      <c r="F802" s="908"/>
      <c r="G802" s="908"/>
      <c r="H802" s="908"/>
      <c r="I802" s="908"/>
      <c r="J802" s="908"/>
      <c r="K802" s="900"/>
      <c r="L802" s="900"/>
    </row>
    <row r="803" spans="1:12" ht="15.75" customHeight="1">
      <c r="A803" s="908"/>
      <c r="B803" s="908"/>
      <c r="C803" s="908"/>
      <c r="D803" s="908"/>
      <c r="E803" s="908"/>
      <c r="F803" s="908"/>
      <c r="G803" s="908"/>
      <c r="H803" s="908"/>
      <c r="I803" s="908"/>
      <c r="J803" s="908"/>
      <c r="K803" s="900"/>
      <c r="L803" s="900"/>
    </row>
    <row r="804" spans="1:12" ht="15.75" customHeight="1">
      <c r="A804" s="908"/>
      <c r="B804" s="908"/>
      <c r="C804" s="908"/>
      <c r="D804" s="908"/>
      <c r="E804" s="908"/>
      <c r="F804" s="908"/>
      <c r="G804" s="908"/>
      <c r="H804" s="908"/>
      <c r="I804" s="908"/>
      <c r="J804" s="908"/>
      <c r="K804" s="900"/>
      <c r="L804" s="900"/>
    </row>
    <row r="805" spans="1:12" ht="15.75" customHeight="1">
      <c r="A805" s="908"/>
      <c r="B805" s="908"/>
      <c r="C805" s="908"/>
      <c r="D805" s="908"/>
      <c r="E805" s="908"/>
      <c r="F805" s="908"/>
      <c r="G805" s="908"/>
      <c r="H805" s="908"/>
      <c r="I805" s="908"/>
      <c r="J805" s="908"/>
      <c r="K805" s="900"/>
      <c r="L805" s="900"/>
    </row>
    <row r="806" spans="1:12" ht="15.75" customHeight="1">
      <c r="A806" s="908"/>
      <c r="B806" s="908"/>
      <c r="C806" s="908"/>
      <c r="D806" s="908"/>
      <c r="E806" s="908"/>
      <c r="F806" s="908"/>
      <c r="G806" s="908"/>
      <c r="H806" s="908"/>
      <c r="I806" s="908"/>
      <c r="J806" s="908"/>
      <c r="K806" s="900"/>
      <c r="L806" s="900"/>
    </row>
    <row r="807" spans="1:12" ht="15.75" customHeight="1">
      <c r="A807" s="908"/>
      <c r="B807" s="908"/>
      <c r="C807" s="908"/>
      <c r="D807" s="908"/>
      <c r="E807" s="908"/>
      <c r="F807" s="908"/>
      <c r="G807" s="908"/>
      <c r="H807" s="908"/>
      <c r="I807" s="908"/>
      <c r="J807" s="908"/>
      <c r="K807" s="900"/>
      <c r="L807" s="900"/>
    </row>
    <row r="808" spans="1:12" ht="15.75" customHeight="1">
      <c r="A808" s="908"/>
      <c r="B808" s="908"/>
      <c r="C808" s="908"/>
      <c r="D808" s="908"/>
      <c r="E808" s="908"/>
      <c r="F808" s="908"/>
      <c r="G808" s="908"/>
      <c r="H808" s="908"/>
      <c r="I808" s="908"/>
      <c r="J808" s="908"/>
      <c r="K808" s="900"/>
      <c r="L808" s="900"/>
    </row>
    <row r="809" spans="1:12" ht="15.75" customHeight="1">
      <c r="A809" s="908"/>
      <c r="B809" s="908"/>
      <c r="C809" s="908"/>
      <c r="D809" s="908"/>
      <c r="E809" s="908"/>
      <c r="F809" s="908"/>
      <c r="G809" s="908"/>
      <c r="H809" s="908"/>
      <c r="I809" s="908"/>
      <c r="J809" s="908"/>
      <c r="K809" s="900"/>
      <c r="L809" s="900"/>
    </row>
    <row r="810" spans="1:12" ht="15.75" customHeight="1">
      <c r="A810" s="908"/>
      <c r="B810" s="908"/>
      <c r="C810" s="908"/>
      <c r="D810" s="908"/>
      <c r="E810" s="908"/>
      <c r="F810" s="908"/>
      <c r="G810" s="908"/>
      <c r="H810" s="908"/>
      <c r="I810" s="908"/>
      <c r="J810" s="908"/>
      <c r="K810" s="900"/>
      <c r="L810" s="900"/>
    </row>
    <row r="811" spans="1:12" ht="15.75" customHeight="1">
      <c r="A811" s="908"/>
      <c r="B811" s="908"/>
      <c r="C811" s="908"/>
      <c r="D811" s="908"/>
      <c r="E811" s="908"/>
      <c r="F811" s="908"/>
      <c r="G811" s="908"/>
      <c r="H811" s="908"/>
      <c r="I811" s="908"/>
      <c r="J811" s="908"/>
      <c r="K811" s="900"/>
      <c r="L811" s="900"/>
    </row>
    <row r="812" spans="1:12" ht="15.75" customHeight="1">
      <c r="A812" s="908"/>
      <c r="B812" s="908"/>
      <c r="C812" s="908"/>
      <c r="D812" s="908"/>
      <c r="E812" s="908"/>
      <c r="F812" s="908"/>
      <c r="G812" s="908"/>
      <c r="H812" s="908"/>
      <c r="I812" s="908"/>
      <c r="J812" s="908"/>
      <c r="K812" s="900"/>
      <c r="L812" s="900"/>
    </row>
    <row r="813" spans="1:12" ht="15.75" customHeight="1">
      <c r="A813" s="908"/>
      <c r="B813" s="908"/>
      <c r="C813" s="908"/>
      <c r="D813" s="908"/>
      <c r="E813" s="908"/>
      <c r="F813" s="908"/>
      <c r="G813" s="908"/>
      <c r="H813" s="908"/>
      <c r="I813" s="908"/>
      <c r="J813" s="908"/>
      <c r="K813" s="900"/>
      <c r="L813" s="900"/>
    </row>
    <row r="814" spans="1:12" ht="15.75" customHeight="1">
      <c r="A814" s="908"/>
      <c r="B814" s="908"/>
      <c r="C814" s="908"/>
      <c r="D814" s="908"/>
      <c r="E814" s="908"/>
      <c r="F814" s="908"/>
      <c r="G814" s="908"/>
      <c r="H814" s="908"/>
      <c r="I814" s="908"/>
      <c r="J814" s="908"/>
      <c r="K814" s="900"/>
      <c r="L814" s="900"/>
    </row>
    <row r="815" spans="1:12" ht="15.75" customHeight="1">
      <c r="A815" s="908"/>
      <c r="B815" s="908"/>
      <c r="C815" s="908"/>
      <c r="D815" s="908"/>
      <c r="E815" s="908"/>
      <c r="F815" s="908"/>
      <c r="G815" s="908"/>
      <c r="H815" s="908"/>
      <c r="I815" s="908"/>
      <c r="J815" s="908"/>
      <c r="K815" s="900"/>
      <c r="L815" s="900"/>
    </row>
    <row r="816" spans="1:12" ht="15.75" customHeight="1">
      <c r="A816" s="908"/>
      <c r="B816" s="908"/>
      <c r="C816" s="908"/>
      <c r="D816" s="908"/>
      <c r="E816" s="908"/>
      <c r="F816" s="908"/>
      <c r="G816" s="908"/>
      <c r="H816" s="908"/>
      <c r="I816" s="908"/>
      <c r="J816" s="908"/>
      <c r="K816" s="900"/>
      <c r="L816" s="900"/>
    </row>
    <row r="817" spans="1:12" ht="15.75" customHeight="1">
      <c r="A817" s="908"/>
      <c r="B817" s="908"/>
      <c r="C817" s="908"/>
      <c r="D817" s="908"/>
      <c r="E817" s="908"/>
      <c r="F817" s="908"/>
      <c r="G817" s="908"/>
      <c r="H817" s="908"/>
      <c r="I817" s="908"/>
      <c r="J817" s="908"/>
      <c r="K817" s="900"/>
      <c r="L817" s="900"/>
    </row>
    <row r="818" spans="1:12" ht="15.75" customHeight="1">
      <c r="A818" s="908"/>
      <c r="B818" s="908"/>
      <c r="C818" s="908"/>
      <c r="D818" s="908"/>
      <c r="E818" s="908"/>
      <c r="F818" s="908"/>
      <c r="G818" s="908"/>
      <c r="H818" s="908"/>
      <c r="I818" s="908"/>
      <c r="J818" s="908"/>
      <c r="K818" s="900"/>
      <c r="L818" s="900"/>
    </row>
    <row r="819" spans="1:12" ht="15.75" customHeight="1">
      <c r="A819" s="908"/>
      <c r="B819" s="908"/>
      <c r="C819" s="908"/>
      <c r="D819" s="908"/>
      <c r="E819" s="908"/>
      <c r="F819" s="908"/>
      <c r="G819" s="908"/>
      <c r="H819" s="908"/>
      <c r="I819" s="908"/>
      <c r="J819" s="908"/>
      <c r="K819" s="900"/>
      <c r="L819" s="900"/>
    </row>
    <row r="820" spans="1:12" ht="15.75" customHeight="1">
      <c r="A820" s="908"/>
      <c r="B820" s="908"/>
      <c r="C820" s="908"/>
      <c r="D820" s="908"/>
      <c r="E820" s="908"/>
      <c r="F820" s="908"/>
      <c r="G820" s="908"/>
      <c r="H820" s="908"/>
      <c r="I820" s="908"/>
      <c r="J820" s="908"/>
      <c r="K820" s="900"/>
      <c r="L820" s="900"/>
    </row>
    <row r="821" spans="1:12" ht="15.75" customHeight="1">
      <c r="A821" s="908"/>
      <c r="B821" s="908"/>
      <c r="C821" s="908"/>
      <c r="D821" s="908"/>
      <c r="E821" s="908"/>
      <c r="F821" s="908"/>
      <c r="G821" s="908"/>
      <c r="H821" s="908"/>
      <c r="I821" s="908"/>
      <c r="J821" s="908"/>
      <c r="K821" s="900"/>
      <c r="L821" s="900"/>
    </row>
    <row r="822" spans="1:12" ht="15.75" customHeight="1">
      <c r="A822" s="908"/>
      <c r="B822" s="908"/>
      <c r="C822" s="908"/>
      <c r="D822" s="908"/>
      <c r="E822" s="908"/>
      <c r="F822" s="908"/>
      <c r="G822" s="908"/>
      <c r="H822" s="908"/>
      <c r="I822" s="908"/>
      <c r="J822" s="908"/>
      <c r="K822" s="900"/>
      <c r="L822" s="900"/>
    </row>
    <row r="823" spans="1:12" ht="15.75" customHeight="1">
      <c r="A823" s="908"/>
      <c r="B823" s="908"/>
      <c r="C823" s="908"/>
      <c r="D823" s="908"/>
      <c r="E823" s="908"/>
      <c r="F823" s="908"/>
      <c r="G823" s="908"/>
      <c r="H823" s="908"/>
      <c r="I823" s="908"/>
      <c r="J823" s="908"/>
      <c r="K823" s="900"/>
      <c r="L823" s="900"/>
    </row>
    <row r="824" spans="1:12" ht="15.75" customHeight="1">
      <c r="A824" s="908"/>
      <c r="B824" s="908"/>
      <c r="C824" s="908"/>
      <c r="D824" s="908"/>
      <c r="E824" s="908"/>
      <c r="F824" s="908"/>
      <c r="G824" s="908"/>
      <c r="H824" s="908"/>
      <c r="I824" s="908"/>
      <c r="J824" s="908"/>
      <c r="K824" s="900"/>
      <c r="L824" s="900"/>
    </row>
    <row r="825" spans="1:12" ht="15.75" customHeight="1">
      <c r="A825" s="908"/>
      <c r="B825" s="908"/>
      <c r="C825" s="908"/>
      <c r="D825" s="908"/>
      <c r="E825" s="908"/>
      <c r="F825" s="908"/>
      <c r="G825" s="908"/>
      <c r="H825" s="908"/>
      <c r="I825" s="908"/>
      <c r="J825" s="908"/>
      <c r="K825" s="900"/>
      <c r="L825" s="900"/>
    </row>
    <row r="826" spans="1:12" ht="15.75" customHeight="1">
      <c r="A826" s="908"/>
      <c r="B826" s="908"/>
      <c r="C826" s="908"/>
      <c r="D826" s="908"/>
      <c r="E826" s="908"/>
      <c r="F826" s="908"/>
      <c r="G826" s="908"/>
      <c r="H826" s="908"/>
      <c r="I826" s="908"/>
      <c r="J826" s="908"/>
      <c r="K826" s="900"/>
      <c r="L826" s="900"/>
    </row>
    <row r="827" spans="1:12" ht="15.75" customHeight="1">
      <c r="A827" s="908"/>
      <c r="B827" s="908"/>
      <c r="C827" s="908"/>
      <c r="D827" s="908"/>
      <c r="E827" s="908"/>
      <c r="F827" s="908"/>
      <c r="G827" s="908"/>
      <c r="H827" s="908"/>
      <c r="I827" s="908"/>
      <c r="J827" s="908"/>
      <c r="K827" s="900"/>
      <c r="L827" s="900"/>
    </row>
    <row r="828" spans="1:12" ht="15.75" customHeight="1">
      <c r="A828" s="908"/>
      <c r="B828" s="908"/>
      <c r="C828" s="908"/>
      <c r="D828" s="908"/>
      <c r="E828" s="908"/>
      <c r="F828" s="908"/>
      <c r="G828" s="908"/>
      <c r="H828" s="908"/>
      <c r="I828" s="908"/>
      <c r="J828" s="908"/>
      <c r="K828" s="900"/>
      <c r="L828" s="900"/>
    </row>
    <row r="829" spans="1:12" ht="15.75" customHeight="1">
      <c r="A829" s="908"/>
      <c r="B829" s="908"/>
      <c r="C829" s="908"/>
      <c r="D829" s="908"/>
      <c r="E829" s="908"/>
      <c r="F829" s="908"/>
      <c r="G829" s="908"/>
      <c r="H829" s="908"/>
      <c r="I829" s="908"/>
      <c r="J829" s="908"/>
      <c r="K829" s="900"/>
      <c r="L829" s="900"/>
    </row>
    <row r="830" spans="1:12" ht="15.75" customHeight="1">
      <c r="A830" s="908"/>
      <c r="B830" s="908"/>
      <c r="C830" s="908"/>
      <c r="D830" s="908"/>
      <c r="E830" s="908"/>
      <c r="F830" s="908"/>
      <c r="G830" s="908"/>
      <c r="H830" s="908"/>
      <c r="I830" s="908"/>
      <c r="J830" s="908"/>
      <c r="K830" s="900"/>
      <c r="L830" s="900"/>
    </row>
    <row r="831" spans="1:12" ht="15.75" customHeight="1">
      <c r="A831" s="908"/>
      <c r="B831" s="908"/>
      <c r="C831" s="908"/>
      <c r="D831" s="908"/>
      <c r="E831" s="908"/>
      <c r="F831" s="908"/>
      <c r="G831" s="908"/>
      <c r="H831" s="908"/>
      <c r="I831" s="908"/>
      <c r="J831" s="908"/>
      <c r="K831" s="900"/>
      <c r="L831" s="900"/>
    </row>
    <row r="832" spans="1:12" ht="15.75" customHeight="1">
      <c r="A832" s="908"/>
      <c r="B832" s="908"/>
      <c r="C832" s="908"/>
      <c r="D832" s="908"/>
      <c r="E832" s="908"/>
      <c r="F832" s="908"/>
      <c r="G832" s="908"/>
      <c r="H832" s="908"/>
      <c r="I832" s="908"/>
      <c r="J832" s="908"/>
      <c r="K832" s="900"/>
      <c r="L832" s="900"/>
    </row>
    <row r="833" spans="1:12" ht="15.75" customHeight="1">
      <c r="A833" s="908"/>
      <c r="B833" s="908"/>
      <c r="C833" s="908"/>
      <c r="D833" s="908"/>
      <c r="E833" s="908"/>
      <c r="F833" s="908"/>
      <c r="G833" s="908"/>
      <c r="H833" s="908"/>
      <c r="I833" s="908"/>
      <c r="J833" s="908"/>
      <c r="K833" s="900"/>
      <c r="L833" s="900"/>
    </row>
    <row r="834" spans="1:12" ht="15.75" customHeight="1">
      <c r="A834" s="908"/>
      <c r="B834" s="908"/>
      <c r="C834" s="908"/>
      <c r="D834" s="908"/>
      <c r="E834" s="908"/>
      <c r="F834" s="908"/>
      <c r="G834" s="908"/>
      <c r="H834" s="908"/>
      <c r="I834" s="908"/>
      <c r="J834" s="908"/>
      <c r="K834" s="900"/>
      <c r="L834" s="900"/>
    </row>
    <row r="835" spans="1:12" ht="15.75" customHeight="1">
      <c r="A835" s="908"/>
      <c r="B835" s="908"/>
      <c r="C835" s="908"/>
      <c r="D835" s="908"/>
      <c r="E835" s="908"/>
      <c r="F835" s="908"/>
      <c r="G835" s="908"/>
      <c r="H835" s="908"/>
      <c r="I835" s="908"/>
      <c r="J835" s="908"/>
      <c r="K835" s="900"/>
      <c r="L835" s="900"/>
    </row>
    <row r="836" spans="1:12" ht="15.75" customHeight="1">
      <c r="A836" s="908"/>
      <c r="B836" s="908"/>
      <c r="C836" s="908"/>
      <c r="D836" s="908"/>
      <c r="E836" s="908"/>
      <c r="F836" s="908"/>
      <c r="G836" s="908"/>
      <c r="H836" s="908"/>
      <c r="I836" s="908"/>
      <c r="J836" s="908"/>
      <c r="K836" s="900"/>
      <c r="L836" s="900"/>
    </row>
    <row r="837" spans="1:12" ht="15.75" customHeight="1">
      <c r="A837" s="908"/>
      <c r="B837" s="908"/>
      <c r="C837" s="908"/>
      <c r="D837" s="908"/>
      <c r="E837" s="908"/>
      <c r="F837" s="908"/>
      <c r="G837" s="908"/>
      <c r="H837" s="908"/>
      <c r="I837" s="908"/>
      <c r="J837" s="908"/>
      <c r="K837" s="900"/>
      <c r="L837" s="900"/>
    </row>
    <row r="838" spans="1:12" ht="15.75" customHeight="1">
      <c r="A838" s="908"/>
      <c r="B838" s="908"/>
      <c r="C838" s="908"/>
      <c r="D838" s="908"/>
      <c r="E838" s="908"/>
      <c r="F838" s="908"/>
      <c r="G838" s="908"/>
      <c r="H838" s="908"/>
      <c r="I838" s="908"/>
      <c r="J838" s="908"/>
      <c r="K838" s="900"/>
      <c r="L838" s="900"/>
    </row>
    <row r="839" spans="1:12" ht="15.75" customHeight="1">
      <c r="A839" s="908"/>
      <c r="B839" s="908"/>
      <c r="C839" s="908"/>
      <c r="D839" s="908"/>
      <c r="E839" s="908"/>
      <c r="F839" s="908"/>
      <c r="G839" s="908"/>
      <c r="H839" s="908"/>
      <c r="I839" s="908"/>
      <c r="J839" s="908"/>
      <c r="K839" s="900"/>
      <c r="L839" s="900"/>
    </row>
    <row r="840" spans="1:12" ht="15.75" customHeight="1">
      <c r="A840" s="908"/>
      <c r="B840" s="908"/>
      <c r="C840" s="908"/>
      <c r="D840" s="908"/>
      <c r="E840" s="908"/>
      <c r="F840" s="908"/>
      <c r="G840" s="908"/>
      <c r="H840" s="908"/>
      <c r="I840" s="908"/>
      <c r="J840" s="908"/>
      <c r="K840" s="900"/>
      <c r="L840" s="900"/>
    </row>
    <row r="841" spans="1:12" ht="15.75" customHeight="1">
      <c r="A841" s="908"/>
      <c r="B841" s="908"/>
      <c r="C841" s="908"/>
      <c r="D841" s="908"/>
      <c r="E841" s="908"/>
      <c r="F841" s="908"/>
      <c r="G841" s="908"/>
      <c r="H841" s="908"/>
      <c r="I841" s="908"/>
      <c r="J841" s="908"/>
      <c r="K841" s="900"/>
      <c r="L841" s="900"/>
    </row>
    <row r="842" spans="1:12" ht="15.75" customHeight="1">
      <c r="A842" s="908"/>
      <c r="B842" s="908"/>
      <c r="C842" s="908"/>
      <c r="D842" s="908"/>
      <c r="E842" s="908"/>
      <c r="F842" s="908"/>
      <c r="G842" s="908"/>
      <c r="H842" s="908"/>
      <c r="I842" s="908"/>
      <c r="J842" s="908"/>
      <c r="K842" s="900"/>
      <c r="L842" s="900"/>
    </row>
    <row r="843" spans="1:12" ht="15.75" customHeight="1">
      <c r="A843" s="908"/>
      <c r="B843" s="908"/>
      <c r="C843" s="908"/>
      <c r="D843" s="908"/>
      <c r="E843" s="908"/>
      <c r="F843" s="908"/>
      <c r="G843" s="908"/>
      <c r="H843" s="908"/>
      <c r="I843" s="908"/>
      <c r="J843" s="908"/>
      <c r="K843" s="900"/>
      <c r="L843" s="900"/>
    </row>
    <row r="844" spans="1:12" ht="15.75" customHeight="1">
      <c r="A844" s="908"/>
      <c r="B844" s="908"/>
      <c r="C844" s="908"/>
      <c r="D844" s="908"/>
      <c r="E844" s="908"/>
      <c r="F844" s="908"/>
      <c r="G844" s="908"/>
      <c r="H844" s="908"/>
      <c r="I844" s="908"/>
      <c r="J844" s="908"/>
      <c r="K844" s="900"/>
      <c r="L844" s="900"/>
    </row>
    <row r="845" spans="1:12" ht="15.75" customHeight="1">
      <c r="A845" s="908"/>
      <c r="B845" s="908"/>
      <c r="C845" s="908"/>
      <c r="D845" s="908"/>
      <c r="E845" s="908"/>
      <c r="F845" s="908"/>
      <c r="G845" s="908"/>
      <c r="H845" s="908"/>
      <c r="I845" s="908"/>
      <c r="J845" s="908"/>
      <c r="K845" s="900"/>
      <c r="L845" s="900"/>
    </row>
    <row r="846" spans="1:12" ht="15.75" customHeight="1">
      <c r="A846" s="908"/>
      <c r="B846" s="908"/>
      <c r="C846" s="908"/>
      <c r="D846" s="908"/>
      <c r="E846" s="908"/>
      <c r="F846" s="908"/>
      <c r="G846" s="908"/>
      <c r="H846" s="908"/>
      <c r="I846" s="908"/>
      <c r="J846" s="908"/>
      <c r="K846" s="900"/>
      <c r="L846" s="900"/>
    </row>
    <row r="847" spans="1:12" ht="15.75" customHeight="1">
      <c r="A847" s="908"/>
      <c r="B847" s="908"/>
      <c r="C847" s="908"/>
      <c r="D847" s="908"/>
      <c r="E847" s="908"/>
      <c r="F847" s="908"/>
      <c r="G847" s="908"/>
      <c r="H847" s="908"/>
      <c r="I847" s="908"/>
      <c r="J847" s="908"/>
      <c r="K847" s="900"/>
      <c r="L847" s="900"/>
    </row>
    <row r="848" spans="1:12" ht="15.75" customHeight="1">
      <c r="A848" s="908"/>
      <c r="B848" s="908"/>
      <c r="C848" s="908"/>
      <c r="D848" s="908"/>
      <c r="E848" s="908"/>
      <c r="F848" s="908"/>
      <c r="G848" s="908"/>
      <c r="H848" s="908"/>
      <c r="I848" s="908"/>
      <c r="J848" s="908"/>
      <c r="K848" s="900"/>
      <c r="L848" s="900"/>
    </row>
    <row r="849" spans="1:12" ht="15.75" customHeight="1">
      <c r="A849" s="908"/>
      <c r="B849" s="908"/>
      <c r="C849" s="908"/>
      <c r="D849" s="908"/>
      <c r="E849" s="908"/>
      <c r="F849" s="908"/>
      <c r="G849" s="908"/>
      <c r="H849" s="908"/>
      <c r="I849" s="908"/>
      <c r="J849" s="908"/>
      <c r="K849" s="900"/>
      <c r="L849" s="900"/>
    </row>
    <row r="850" spans="1:12" ht="15.75" customHeight="1">
      <c r="A850" s="908"/>
      <c r="B850" s="908"/>
      <c r="C850" s="908"/>
      <c r="D850" s="908"/>
      <c r="E850" s="908"/>
      <c r="F850" s="908"/>
      <c r="G850" s="908"/>
      <c r="H850" s="908"/>
      <c r="I850" s="908"/>
      <c r="J850" s="908"/>
      <c r="K850" s="900"/>
      <c r="L850" s="900"/>
    </row>
    <row r="851" spans="1:12" ht="15.75" customHeight="1">
      <c r="A851" s="908"/>
      <c r="B851" s="908"/>
      <c r="C851" s="908"/>
      <c r="D851" s="908"/>
      <c r="E851" s="908"/>
      <c r="F851" s="908"/>
      <c r="G851" s="908"/>
      <c r="H851" s="908"/>
      <c r="I851" s="908"/>
      <c r="J851" s="908"/>
      <c r="K851" s="900"/>
      <c r="L851" s="900"/>
    </row>
    <row r="852" spans="1:12" ht="15.75" customHeight="1">
      <c r="A852" s="908"/>
      <c r="B852" s="908"/>
      <c r="C852" s="908"/>
      <c r="D852" s="908"/>
      <c r="E852" s="908"/>
      <c r="F852" s="908"/>
      <c r="G852" s="908"/>
      <c r="H852" s="908"/>
      <c r="I852" s="908"/>
      <c r="J852" s="908"/>
      <c r="K852" s="900"/>
      <c r="L852" s="900"/>
    </row>
    <row r="853" spans="1:12" ht="15.75" customHeight="1">
      <c r="A853" s="908"/>
      <c r="B853" s="908"/>
      <c r="C853" s="908"/>
      <c r="D853" s="908"/>
      <c r="E853" s="908"/>
      <c r="F853" s="908"/>
      <c r="G853" s="908"/>
      <c r="H853" s="908"/>
      <c r="I853" s="908"/>
      <c r="J853" s="908"/>
      <c r="K853" s="900"/>
      <c r="L853" s="900"/>
    </row>
    <row r="854" spans="1:12" ht="15.75" customHeight="1">
      <c r="A854" s="908"/>
      <c r="B854" s="908"/>
      <c r="C854" s="908"/>
      <c r="D854" s="908"/>
      <c r="E854" s="908"/>
      <c r="F854" s="908"/>
      <c r="G854" s="908"/>
      <c r="H854" s="908"/>
      <c r="I854" s="908"/>
      <c r="J854" s="908"/>
      <c r="K854" s="900"/>
      <c r="L854" s="900"/>
    </row>
    <row r="855" spans="1:12" ht="15.75" customHeight="1">
      <c r="A855" s="908"/>
      <c r="B855" s="908"/>
      <c r="C855" s="908"/>
      <c r="D855" s="908"/>
      <c r="E855" s="908"/>
      <c r="F855" s="908"/>
      <c r="G855" s="908"/>
      <c r="H855" s="908"/>
      <c r="I855" s="908"/>
      <c r="J855" s="908"/>
      <c r="K855" s="900"/>
      <c r="L855" s="900"/>
    </row>
    <row r="856" spans="1:12" ht="15.75" customHeight="1">
      <c r="A856" s="908"/>
      <c r="B856" s="908"/>
      <c r="C856" s="908"/>
      <c r="D856" s="908"/>
      <c r="E856" s="908"/>
      <c r="F856" s="908"/>
      <c r="G856" s="908"/>
      <c r="H856" s="908"/>
      <c r="I856" s="908"/>
      <c r="J856" s="908"/>
      <c r="K856" s="900"/>
      <c r="L856" s="900"/>
    </row>
    <row r="857" spans="1:12" ht="15.75" customHeight="1">
      <c r="A857" s="908"/>
      <c r="B857" s="908"/>
      <c r="C857" s="908"/>
      <c r="D857" s="908"/>
      <c r="E857" s="908"/>
      <c r="F857" s="908"/>
      <c r="G857" s="908"/>
      <c r="H857" s="908"/>
      <c r="I857" s="908"/>
      <c r="J857" s="908"/>
      <c r="K857" s="900"/>
      <c r="L857" s="900"/>
    </row>
    <row r="858" spans="1:12" ht="15.75" customHeight="1">
      <c r="A858" s="908"/>
      <c r="B858" s="908"/>
      <c r="C858" s="908"/>
      <c r="D858" s="908"/>
      <c r="E858" s="908"/>
      <c r="F858" s="908"/>
      <c r="G858" s="908"/>
      <c r="H858" s="908"/>
      <c r="I858" s="908"/>
      <c r="J858" s="908"/>
      <c r="K858" s="900"/>
      <c r="L858" s="900"/>
    </row>
    <row r="859" spans="1:12" ht="15.75" customHeight="1">
      <c r="A859" s="908"/>
      <c r="B859" s="908"/>
      <c r="C859" s="908"/>
      <c r="D859" s="908"/>
      <c r="E859" s="908"/>
      <c r="F859" s="908"/>
      <c r="G859" s="908"/>
      <c r="H859" s="908"/>
      <c r="I859" s="908"/>
      <c r="J859" s="908"/>
      <c r="K859" s="900"/>
      <c r="L859" s="900"/>
    </row>
    <row r="860" spans="1:12" ht="15.75" customHeight="1">
      <c r="A860" s="908"/>
      <c r="B860" s="908"/>
      <c r="C860" s="908"/>
      <c r="D860" s="908"/>
      <c r="E860" s="908"/>
      <c r="F860" s="908"/>
      <c r="G860" s="908"/>
      <c r="H860" s="908"/>
      <c r="I860" s="908"/>
      <c r="J860" s="908"/>
      <c r="K860" s="900"/>
      <c r="L860" s="900"/>
    </row>
    <row r="861" spans="1:12" ht="15.75" customHeight="1">
      <c r="A861" s="908"/>
      <c r="B861" s="908"/>
      <c r="C861" s="908"/>
      <c r="D861" s="908"/>
      <c r="E861" s="908"/>
      <c r="F861" s="908"/>
      <c r="G861" s="908"/>
      <c r="H861" s="908"/>
      <c r="I861" s="908"/>
      <c r="J861" s="908"/>
      <c r="K861" s="900"/>
      <c r="L861" s="900"/>
    </row>
    <row r="862" spans="1:12" ht="15.75" customHeight="1">
      <c r="A862" s="908"/>
      <c r="B862" s="908"/>
      <c r="C862" s="908"/>
      <c r="D862" s="908"/>
      <c r="E862" s="908"/>
      <c r="F862" s="908"/>
      <c r="G862" s="908"/>
      <c r="H862" s="908"/>
      <c r="I862" s="908"/>
      <c r="J862" s="908"/>
      <c r="K862" s="900"/>
      <c r="L862" s="900"/>
    </row>
    <row r="863" spans="1:12" ht="15.75" customHeight="1">
      <c r="A863" s="908"/>
      <c r="B863" s="908"/>
      <c r="C863" s="908"/>
      <c r="D863" s="908"/>
      <c r="E863" s="908"/>
      <c r="F863" s="908"/>
      <c r="G863" s="908"/>
      <c r="H863" s="908"/>
      <c r="I863" s="908"/>
      <c r="J863" s="908"/>
      <c r="K863" s="900"/>
      <c r="L863" s="900"/>
    </row>
    <row r="864" spans="1:12" ht="15.75" customHeight="1">
      <c r="A864" s="908"/>
      <c r="B864" s="908"/>
      <c r="C864" s="908"/>
      <c r="D864" s="908"/>
      <c r="E864" s="908"/>
      <c r="F864" s="908"/>
      <c r="G864" s="908"/>
      <c r="H864" s="908"/>
      <c r="I864" s="908"/>
      <c r="J864" s="908"/>
      <c r="K864" s="900"/>
      <c r="L864" s="900"/>
    </row>
    <row r="865" spans="1:12" ht="15.75" customHeight="1">
      <c r="A865" s="908"/>
      <c r="B865" s="908"/>
      <c r="C865" s="908"/>
      <c r="D865" s="908"/>
      <c r="E865" s="908"/>
      <c r="F865" s="908"/>
      <c r="G865" s="908"/>
      <c r="H865" s="908"/>
      <c r="I865" s="908"/>
      <c r="J865" s="908"/>
      <c r="K865" s="900"/>
      <c r="L865" s="900"/>
    </row>
    <row r="866" spans="1:12" ht="15.75" customHeight="1">
      <c r="A866" s="908"/>
      <c r="B866" s="908"/>
      <c r="C866" s="908"/>
      <c r="D866" s="908"/>
      <c r="E866" s="908"/>
      <c r="F866" s="908"/>
      <c r="G866" s="908"/>
      <c r="H866" s="908"/>
      <c r="I866" s="908"/>
      <c r="J866" s="908"/>
      <c r="K866" s="900"/>
      <c r="L866" s="900"/>
    </row>
    <row r="867" spans="1:12" ht="15.75" customHeight="1">
      <c r="A867" s="908"/>
      <c r="B867" s="908"/>
      <c r="C867" s="908"/>
      <c r="D867" s="908"/>
      <c r="E867" s="908"/>
      <c r="F867" s="908"/>
      <c r="G867" s="908"/>
      <c r="H867" s="908"/>
      <c r="I867" s="908"/>
      <c r="J867" s="908"/>
      <c r="K867" s="900"/>
      <c r="L867" s="900"/>
    </row>
    <row r="868" spans="1:12" ht="15.75" customHeight="1">
      <c r="A868" s="908"/>
      <c r="B868" s="908"/>
      <c r="C868" s="908"/>
      <c r="D868" s="908"/>
      <c r="E868" s="908"/>
      <c r="F868" s="908"/>
      <c r="G868" s="908"/>
      <c r="H868" s="908"/>
      <c r="I868" s="908"/>
      <c r="J868" s="908"/>
      <c r="K868" s="900"/>
      <c r="L868" s="900"/>
    </row>
    <row r="869" spans="1:12" ht="15.75" customHeight="1">
      <c r="A869" s="908"/>
      <c r="B869" s="908"/>
      <c r="C869" s="908"/>
      <c r="D869" s="908"/>
      <c r="E869" s="908"/>
      <c r="F869" s="908"/>
      <c r="G869" s="908"/>
      <c r="H869" s="908"/>
      <c r="I869" s="908"/>
      <c r="J869" s="908"/>
      <c r="K869" s="900"/>
      <c r="L869" s="900"/>
    </row>
    <row r="870" spans="1:12" ht="15.75" customHeight="1">
      <c r="A870" s="908"/>
      <c r="B870" s="908"/>
      <c r="C870" s="908"/>
      <c r="D870" s="908"/>
      <c r="E870" s="908"/>
      <c r="F870" s="908"/>
      <c r="G870" s="908"/>
      <c r="H870" s="908"/>
      <c r="I870" s="908"/>
      <c r="J870" s="908"/>
      <c r="K870" s="900"/>
      <c r="L870" s="900"/>
    </row>
    <row r="871" spans="1:12" ht="15.75" customHeight="1">
      <c r="A871" s="908"/>
      <c r="B871" s="908"/>
      <c r="C871" s="908"/>
      <c r="D871" s="908"/>
      <c r="E871" s="908"/>
      <c r="F871" s="908"/>
      <c r="G871" s="908"/>
      <c r="H871" s="908"/>
      <c r="I871" s="908"/>
      <c r="J871" s="908"/>
      <c r="K871" s="900"/>
      <c r="L871" s="900"/>
    </row>
    <row r="872" spans="1:12" ht="15.75" customHeight="1">
      <c r="A872" s="908"/>
      <c r="B872" s="908"/>
      <c r="C872" s="908"/>
      <c r="D872" s="908"/>
      <c r="E872" s="908"/>
      <c r="F872" s="908"/>
      <c r="G872" s="908"/>
      <c r="H872" s="908"/>
      <c r="I872" s="908"/>
      <c r="J872" s="908"/>
      <c r="K872" s="900"/>
      <c r="L872" s="900"/>
    </row>
    <row r="873" spans="1:12" ht="15.75" customHeight="1">
      <c r="A873" s="908"/>
      <c r="B873" s="908"/>
      <c r="C873" s="908"/>
      <c r="D873" s="908"/>
      <c r="E873" s="908"/>
      <c r="F873" s="908"/>
      <c r="G873" s="908"/>
      <c r="H873" s="908"/>
      <c r="I873" s="908"/>
      <c r="J873" s="908"/>
      <c r="K873" s="900"/>
      <c r="L873" s="900"/>
    </row>
    <row r="874" spans="1:12" ht="15.75" customHeight="1">
      <c r="A874" s="908"/>
      <c r="B874" s="908"/>
      <c r="C874" s="908"/>
      <c r="D874" s="908"/>
      <c r="E874" s="908"/>
      <c r="F874" s="908"/>
      <c r="G874" s="908"/>
      <c r="H874" s="908"/>
      <c r="I874" s="908"/>
      <c r="J874" s="908"/>
      <c r="K874" s="900"/>
      <c r="L874" s="900"/>
    </row>
    <row r="875" spans="1:12" ht="15.75" customHeight="1">
      <c r="A875" s="908"/>
      <c r="B875" s="908"/>
      <c r="C875" s="908"/>
      <c r="D875" s="908"/>
      <c r="E875" s="908"/>
      <c r="F875" s="908"/>
      <c r="G875" s="908"/>
      <c r="H875" s="908"/>
      <c r="I875" s="908"/>
      <c r="J875" s="908"/>
      <c r="K875" s="900"/>
      <c r="L875" s="900"/>
    </row>
    <row r="876" spans="1:12" ht="15.75" customHeight="1">
      <c r="A876" s="908"/>
      <c r="B876" s="908"/>
      <c r="C876" s="908"/>
      <c r="D876" s="908"/>
      <c r="E876" s="908"/>
      <c r="F876" s="908"/>
      <c r="G876" s="908"/>
      <c r="H876" s="908"/>
      <c r="I876" s="908"/>
      <c r="J876" s="908"/>
      <c r="K876" s="900"/>
      <c r="L876" s="900"/>
    </row>
    <row r="877" spans="1:12" ht="15.75" customHeight="1">
      <c r="A877" s="908"/>
      <c r="B877" s="908"/>
      <c r="C877" s="908"/>
      <c r="D877" s="908"/>
      <c r="E877" s="908"/>
      <c r="F877" s="908"/>
      <c r="G877" s="908"/>
      <c r="H877" s="908"/>
      <c r="I877" s="908"/>
      <c r="J877" s="908"/>
      <c r="K877" s="900"/>
      <c r="L877" s="900"/>
    </row>
    <row r="878" spans="1:12" ht="15.75" customHeight="1">
      <c r="A878" s="908"/>
      <c r="B878" s="908"/>
      <c r="C878" s="908"/>
      <c r="D878" s="908"/>
      <c r="E878" s="908"/>
      <c r="F878" s="908"/>
      <c r="G878" s="908"/>
      <c r="H878" s="908"/>
      <c r="I878" s="908"/>
      <c r="J878" s="908"/>
      <c r="K878" s="900"/>
      <c r="L878" s="900"/>
    </row>
    <row r="879" spans="1:12" ht="15.75" customHeight="1">
      <c r="A879" s="908"/>
      <c r="B879" s="908"/>
      <c r="C879" s="908"/>
      <c r="D879" s="908"/>
      <c r="E879" s="908"/>
      <c r="F879" s="908"/>
      <c r="G879" s="908"/>
      <c r="H879" s="908"/>
      <c r="I879" s="908"/>
      <c r="J879" s="908"/>
      <c r="K879" s="900"/>
      <c r="L879" s="900"/>
    </row>
    <row r="880" spans="1:12" ht="15.75" customHeight="1">
      <c r="A880" s="908"/>
      <c r="B880" s="908"/>
      <c r="C880" s="908"/>
      <c r="D880" s="908"/>
      <c r="E880" s="908"/>
      <c r="F880" s="908"/>
      <c r="G880" s="908"/>
      <c r="H880" s="908"/>
      <c r="I880" s="908"/>
      <c r="J880" s="908"/>
      <c r="K880" s="900"/>
      <c r="L880" s="900"/>
    </row>
    <row r="881" spans="1:12" ht="15.75" customHeight="1">
      <c r="A881" s="908"/>
      <c r="B881" s="908"/>
      <c r="C881" s="908"/>
      <c r="D881" s="908"/>
      <c r="E881" s="908"/>
      <c r="F881" s="908"/>
      <c r="G881" s="908"/>
      <c r="H881" s="908"/>
      <c r="I881" s="908"/>
      <c r="J881" s="908"/>
      <c r="K881" s="900"/>
      <c r="L881" s="900"/>
    </row>
    <row r="882" spans="1:12" ht="15.75" customHeight="1">
      <c r="A882" s="908"/>
      <c r="B882" s="908"/>
      <c r="C882" s="908"/>
      <c r="D882" s="908"/>
      <c r="E882" s="908"/>
      <c r="F882" s="908"/>
      <c r="G882" s="908"/>
      <c r="H882" s="908"/>
      <c r="I882" s="908"/>
      <c r="J882" s="908"/>
      <c r="K882" s="900"/>
      <c r="L882" s="900"/>
    </row>
    <row r="883" spans="1:12" ht="15.75" customHeight="1">
      <c r="A883" s="908"/>
      <c r="B883" s="908"/>
      <c r="C883" s="908"/>
      <c r="D883" s="908"/>
      <c r="E883" s="908"/>
      <c r="F883" s="908"/>
      <c r="G883" s="908"/>
      <c r="H883" s="908"/>
      <c r="I883" s="908"/>
      <c r="J883" s="908"/>
      <c r="K883" s="900"/>
      <c r="L883" s="900"/>
    </row>
    <row r="884" spans="1:12" ht="15.75" customHeight="1">
      <c r="A884" s="908"/>
      <c r="B884" s="908"/>
      <c r="C884" s="908"/>
      <c r="D884" s="908"/>
      <c r="E884" s="908"/>
      <c r="F884" s="908"/>
      <c r="G884" s="908"/>
      <c r="H884" s="908"/>
      <c r="I884" s="908"/>
      <c r="J884" s="908"/>
      <c r="K884" s="900"/>
      <c r="L884" s="900"/>
    </row>
    <row r="885" spans="1:12" ht="15.75" customHeight="1">
      <c r="A885" s="908"/>
      <c r="B885" s="908"/>
      <c r="C885" s="908"/>
      <c r="D885" s="908"/>
      <c r="E885" s="908"/>
      <c r="F885" s="908"/>
      <c r="G885" s="908"/>
      <c r="H885" s="908"/>
      <c r="I885" s="908"/>
      <c r="J885" s="908"/>
      <c r="K885" s="900"/>
      <c r="L885" s="900"/>
    </row>
    <row r="886" spans="1:12" ht="15.75" customHeight="1">
      <c r="A886" s="908"/>
      <c r="B886" s="908"/>
      <c r="C886" s="908"/>
      <c r="D886" s="908"/>
      <c r="E886" s="908"/>
      <c r="F886" s="908"/>
      <c r="G886" s="908"/>
      <c r="H886" s="908"/>
      <c r="I886" s="908"/>
      <c r="J886" s="908"/>
      <c r="K886" s="900"/>
      <c r="L886" s="900"/>
    </row>
    <row r="887" spans="1:12" ht="15.75" customHeight="1">
      <c r="A887" s="908"/>
      <c r="B887" s="908"/>
      <c r="C887" s="908"/>
      <c r="D887" s="908"/>
      <c r="E887" s="908"/>
      <c r="F887" s="908"/>
      <c r="G887" s="908"/>
      <c r="H887" s="908"/>
      <c r="I887" s="908"/>
      <c r="J887" s="908"/>
      <c r="K887" s="900"/>
      <c r="L887" s="900"/>
    </row>
    <row r="888" spans="1:12" ht="15.75" customHeight="1">
      <c r="A888" s="908"/>
      <c r="B888" s="908"/>
      <c r="C888" s="908"/>
      <c r="D888" s="908"/>
      <c r="E888" s="908"/>
      <c r="F888" s="908"/>
      <c r="G888" s="908"/>
      <c r="H888" s="908"/>
      <c r="I888" s="908"/>
      <c r="J888" s="908"/>
      <c r="K888" s="900"/>
      <c r="L888" s="900"/>
    </row>
    <row r="889" spans="1:12" ht="15.75" customHeight="1">
      <c r="A889" s="908"/>
      <c r="B889" s="908"/>
      <c r="C889" s="908"/>
      <c r="D889" s="908"/>
      <c r="E889" s="908"/>
      <c r="F889" s="908"/>
      <c r="G889" s="908"/>
      <c r="H889" s="908"/>
      <c r="I889" s="908"/>
      <c r="J889" s="908"/>
      <c r="K889" s="900"/>
      <c r="L889" s="900"/>
    </row>
    <row r="890" spans="1:12" ht="15.75" customHeight="1">
      <c r="A890" s="908"/>
      <c r="B890" s="908"/>
      <c r="C890" s="908"/>
      <c r="D890" s="908"/>
      <c r="E890" s="908"/>
      <c r="F890" s="908"/>
      <c r="G890" s="908"/>
      <c r="H890" s="908"/>
      <c r="I890" s="908"/>
      <c r="J890" s="908"/>
      <c r="K890" s="900"/>
      <c r="L890" s="900"/>
    </row>
    <row r="891" spans="1:12" ht="15.75" customHeight="1">
      <c r="A891" s="908"/>
      <c r="B891" s="908"/>
      <c r="C891" s="908"/>
      <c r="D891" s="908"/>
      <c r="E891" s="908"/>
      <c r="F891" s="908"/>
      <c r="G891" s="908"/>
      <c r="H891" s="908"/>
      <c r="I891" s="908"/>
      <c r="J891" s="908"/>
      <c r="K891" s="900"/>
      <c r="L891" s="900"/>
    </row>
    <row r="892" spans="1:12" ht="15.75" customHeight="1">
      <c r="A892" s="908"/>
      <c r="B892" s="908"/>
      <c r="C892" s="908"/>
      <c r="D892" s="908"/>
      <c r="E892" s="908"/>
      <c r="F892" s="908"/>
      <c r="G892" s="908"/>
      <c r="H892" s="908"/>
      <c r="I892" s="908"/>
      <c r="J892" s="908"/>
      <c r="K892" s="900"/>
      <c r="L892" s="900"/>
    </row>
    <row r="893" spans="1:12" ht="15.75" customHeight="1">
      <c r="A893" s="908"/>
      <c r="B893" s="908"/>
      <c r="C893" s="908"/>
      <c r="D893" s="908"/>
      <c r="E893" s="908"/>
      <c r="F893" s="908"/>
      <c r="G893" s="908"/>
      <c r="H893" s="908"/>
      <c r="I893" s="908"/>
      <c r="J893" s="908"/>
      <c r="K893" s="900"/>
      <c r="L893" s="900"/>
    </row>
    <row r="894" spans="1:12" ht="15.75" customHeight="1">
      <c r="A894" s="908"/>
      <c r="B894" s="908"/>
      <c r="C894" s="908"/>
      <c r="D894" s="908"/>
      <c r="E894" s="908"/>
      <c r="F894" s="908"/>
      <c r="G894" s="908"/>
      <c r="H894" s="908"/>
      <c r="I894" s="908"/>
      <c r="J894" s="908"/>
      <c r="K894" s="900"/>
      <c r="L894" s="900"/>
    </row>
    <row r="895" spans="1:12" ht="15.75" customHeight="1">
      <c r="A895" s="908"/>
      <c r="B895" s="908"/>
      <c r="C895" s="908"/>
      <c r="D895" s="908"/>
      <c r="E895" s="908"/>
      <c r="F895" s="908"/>
      <c r="G895" s="908"/>
      <c r="H895" s="908"/>
      <c r="I895" s="908"/>
      <c r="J895" s="908"/>
      <c r="K895" s="900"/>
      <c r="L895" s="900"/>
    </row>
    <row r="896" spans="1:12" ht="15.75" customHeight="1">
      <c r="A896" s="908"/>
      <c r="B896" s="908"/>
      <c r="C896" s="908"/>
      <c r="D896" s="908"/>
      <c r="E896" s="908"/>
      <c r="F896" s="908"/>
      <c r="G896" s="908"/>
      <c r="H896" s="908"/>
      <c r="I896" s="908"/>
      <c r="J896" s="908"/>
      <c r="K896" s="900"/>
      <c r="L896" s="900"/>
    </row>
    <row r="897" spans="1:12" ht="15.75" customHeight="1">
      <c r="A897" s="908"/>
      <c r="B897" s="908"/>
      <c r="C897" s="908"/>
      <c r="D897" s="908"/>
      <c r="E897" s="908"/>
      <c r="F897" s="908"/>
      <c r="G897" s="908"/>
      <c r="H897" s="908"/>
      <c r="I897" s="908"/>
      <c r="J897" s="908"/>
      <c r="K897" s="900"/>
      <c r="L897" s="900"/>
    </row>
    <row r="898" spans="1:12" ht="15.75" customHeight="1">
      <c r="A898" s="908"/>
      <c r="B898" s="908"/>
      <c r="C898" s="908"/>
      <c r="D898" s="908"/>
      <c r="E898" s="908"/>
      <c r="F898" s="908"/>
      <c r="G898" s="908"/>
      <c r="H898" s="908"/>
      <c r="I898" s="908"/>
      <c r="J898" s="908"/>
      <c r="K898" s="900"/>
      <c r="L898" s="900"/>
    </row>
    <row r="899" spans="1:12" ht="15.75" customHeight="1">
      <c r="A899" s="908"/>
      <c r="B899" s="908"/>
      <c r="C899" s="908"/>
      <c r="D899" s="908"/>
      <c r="E899" s="908"/>
      <c r="F899" s="908"/>
      <c r="G899" s="908"/>
      <c r="H899" s="908"/>
      <c r="I899" s="908"/>
      <c r="J899" s="908"/>
      <c r="K899" s="900"/>
      <c r="L899" s="900"/>
    </row>
    <row r="900" spans="1:12" ht="15.75" customHeight="1">
      <c r="A900" s="908"/>
      <c r="B900" s="908"/>
      <c r="C900" s="908"/>
      <c r="D900" s="908"/>
      <c r="E900" s="908"/>
      <c r="F900" s="908"/>
      <c r="G900" s="908"/>
      <c r="H900" s="908"/>
      <c r="I900" s="908"/>
      <c r="J900" s="908"/>
      <c r="K900" s="900"/>
      <c r="L900" s="900"/>
    </row>
    <row r="901" spans="1:12" ht="15.75" customHeight="1">
      <c r="A901" s="908"/>
      <c r="B901" s="908"/>
      <c r="C901" s="908"/>
      <c r="D901" s="908"/>
      <c r="E901" s="908"/>
      <c r="F901" s="908"/>
      <c r="G901" s="908"/>
      <c r="H901" s="908"/>
      <c r="I901" s="908"/>
      <c r="J901" s="908"/>
      <c r="K901" s="900"/>
      <c r="L901" s="900"/>
    </row>
    <row r="902" spans="1:12" ht="15.75" customHeight="1">
      <c r="A902" s="908"/>
      <c r="B902" s="908"/>
      <c r="C902" s="908"/>
      <c r="D902" s="908"/>
      <c r="E902" s="908"/>
      <c r="F902" s="908"/>
      <c r="G902" s="908"/>
      <c r="H902" s="908"/>
      <c r="I902" s="908"/>
      <c r="J902" s="908"/>
      <c r="K902" s="900"/>
      <c r="L902" s="900"/>
    </row>
    <row r="903" spans="1:12" ht="15.75" customHeight="1">
      <c r="A903" s="908"/>
      <c r="B903" s="908"/>
      <c r="C903" s="908"/>
      <c r="D903" s="908"/>
      <c r="E903" s="908"/>
      <c r="F903" s="908"/>
      <c r="G903" s="908"/>
      <c r="H903" s="908"/>
      <c r="I903" s="908"/>
      <c r="J903" s="908"/>
      <c r="K903" s="900"/>
      <c r="L903" s="900"/>
    </row>
    <row r="904" spans="1:12" ht="15.75" customHeight="1">
      <c r="A904" s="908"/>
      <c r="B904" s="908"/>
      <c r="C904" s="908"/>
      <c r="D904" s="908"/>
      <c r="E904" s="908"/>
      <c r="F904" s="908"/>
      <c r="G904" s="908"/>
      <c r="H904" s="908"/>
      <c r="I904" s="908"/>
      <c r="J904" s="908"/>
      <c r="K904" s="900"/>
      <c r="L904" s="900"/>
    </row>
    <row r="905" spans="1:12" ht="15.75" customHeight="1">
      <c r="A905" s="908"/>
      <c r="B905" s="908"/>
      <c r="C905" s="908"/>
      <c r="D905" s="908"/>
      <c r="E905" s="908"/>
      <c r="F905" s="908"/>
      <c r="G905" s="908"/>
      <c r="H905" s="908"/>
      <c r="I905" s="908"/>
      <c r="J905" s="908"/>
      <c r="K905" s="900"/>
      <c r="L905" s="900"/>
    </row>
    <row r="906" spans="1:12" ht="15.75" customHeight="1">
      <c r="A906" s="908"/>
      <c r="B906" s="908"/>
      <c r="C906" s="908"/>
      <c r="D906" s="908"/>
      <c r="E906" s="908"/>
      <c r="F906" s="908"/>
      <c r="G906" s="908"/>
      <c r="H906" s="908"/>
      <c r="I906" s="908"/>
      <c r="J906" s="908"/>
      <c r="K906" s="900"/>
      <c r="L906" s="900"/>
    </row>
    <row r="907" spans="1:12" ht="15.75" customHeight="1">
      <c r="A907" s="908"/>
      <c r="B907" s="908"/>
      <c r="C907" s="908"/>
      <c r="D907" s="908"/>
      <c r="E907" s="908"/>
      <c r="F907" s="908"/>
      <c r="G907" s="908"/>
      <c r="H907" s="908"/>
      <c r="I907" s="908"/>
      <c r="J907" s="908"/>
      <c r="K907" s="900"/>
      <c r="L907" s="900"/>
    </row>
    <row r="908" spans="1:12" ht="15.75" customHeight="1">
      <c r="A908" s="908"/>
      <c r="B908" s="908"/>
      <c r="C908" s="908"/>
      <c r="D908" s="908"/>
      <c r="E908" s="908"/>
      <c r="F908" s="908"/>
      <c r="G908" s="908"/>
      <c r="H908" s="908"/>
      <c r="I908" s="908"/>
      <c r="J908" s="908"/>
      <c r="K908" s="900"/>
      <c r="L908" s="900"/>
    </row>
    <row r="909" spans="1:12" ht="15.75" customHeight="1">
      <c r="A909" s="908"/>
      <c r="B909" s="908"/>
      <c r="C909" s="908"/>
      <c r="D909" s="908"/>
      <c r="E909" s="908"/>
      <c r="F909" s="908"/>
      <c r="G909" s="908"/>
      <c r="H909" s="908"/>
      <c r="I909" s="908"/>
      <c r="J909" s="908"/>
      <c r="K909" s="900"/>
      <c r="L909" s="900"/>
    </row>
    <row r="910" spans="1:12" ht="15.75" customHeight="1">
      <c r="A910" s="908"/>
      <c r="B910" s="908"/>
      <c r="C910" s="908"/>
      <c r="D910" s="908"/>
      <c r="E910" s="908"/>
      <c r="F910" s="908"/>
      <c r="G910" s="908"/>
      <c r="H910" s="908"/>
      <c r="I910" s="908"/>
      <c r="J910" s="908"/>
      <c r="K910" s="900"/>
      <c r="L910" s="900"/>
    </row>
    <row r="911" spans="1:12" ht="15.75" customHeight="1">
      <c r="A911" s="908"/>
      <c r="B911" s="908"/>
      <c r="C911" s="908"/>
      <c r="D911" s="908"/>
      <c r="E911" s="908"/>
      <c r="F911" s="908"/>
      <c r="G911" s="908"/>
      <c r="H911" s="908"/>
      <c r="I911" s="908"/>
      <c r="J911" s="908"/>
      <c r="K911" s="900"/>
      <c r="L911" s="900"/>
    </row>
    <row r="912" spans="1:12" ht="15.75" customHeight="1">
      <c r="A912" s="908"/>
      <c r="B912" s="908"/>
      <c r="C912" s="908"/>
      <c r="D912" s="908"/>
      <c r="E912" s="908"/>
      <c r="F912" s="908"/>
      <c r="G912" s="908"/>
      <c r="H912" s="908"/>
      <c r="I912" s="908"/>
      <c r="J912" s="908"/>
      <c r="K912" s="900"/>
      <c r="L912" s="900"/>
    </row>
    <row r="913" spans="1:12" ht="15.75" customHeight="1">
      <c r="A913" s="908"/>
      <c r="B913" s="908"/>
      <c r="C913" s="908"/>
      <c r="D913" s="908"/>
      <c r="E913" s="908"/>
      <c r="F913" s="908"/>
      <c r="G913" s="908"/>
      <c r="H913" s="908"/>
      <c r="I913" s="908"/>
      <c r="J913" s="908"/>
      <c r="K913" s="900"/>
      <c r="L913" s="900"/>
    </row>
    <row r="914" spans="1:12" ht="15.75" customHeight="1">
      <c r="A914" s="908"/>
      <c r="B914" s="908"/>
      <c r="C914" s="908"/>
      <c r="D914" s="908"/>
      <c r="E914" s="908"/>
      <c r="F914" s="908"/>
      <c r="G914" s="908"/>
      <c r="H914" s="908"/>
      <c r="I914" s="908"/>
      <c r="J914" s="908"/>
      <c r="K914" s="900"/>
      <c r="L914" s="900"/>
    </row>
    <row r="915" spans="1:12" ht="15.75" customHeight="1">
      <c r="A915" s="908"/>
      <c r="B915" s="908"/>
      <c r="C915" s="908"/>
      <c r="D915" s="908"/>
      <c r="E915" s="908"/>
      <c r="F915" s="908"/>
      <c r="G915" s="908"/>
      <c r="H915" s="908"/>
      <c r="I915" s="908"/>
      <c r="J915" s="908"/>
      <c r="K915" s="900"/>
      <c r="L915" s="900"/>
    </row>
    <row r="916" spans="1:12" ht="15.75" customHeight="1">
      <c r="A916" s="908"/>
      <c r="B916" s="908"/>
      <c r="C916" s="908"/>
      <c r="D916" s="908"/>
      <c r="E916" s="908"/>
      <c r="F916" s="908"/>
      <c r="G916" s="908"/>
      <c r="H916" s="908"/>
      <c r="I916" s="908"/>
      <c r="J916" s="908"/>
      <c r="K916" s="900"/>
      <c r="L916" s="900"/>
    </row>
    <row r="917" spans="1:12" ht="15.75" customHeight="1">
      <c r="A917" s="908"/>
      <c r="B917" s="908"/>
      <c r="C917" s="908"/>
      <c r="D917" s="908"/>
      <c r="E917" s="908"/>
      <c r="F917" s="908"/>
      <c r="G917" s="908"/>
      <c r="H917" s="908"/>
      <c r="I917" s="908"/>
      <c r="J917" s="908"/>
      <c r="K917" s="900"/>
      <c r="L917" s="900"/>
    </row>
    <row r="918" spans="1:12" ht="15.75" customHeight="1">
      <c r="A918" s="908"/>
      <c r="B918" s="908"/>
      <c r="C918" s="908"/>
      <c r="D918" s="908"/>
      <c r="E918" s="908"/>
      <c r="F918" s="908"/>
      <c r="G918" s="908"/>
      <c r="H918" s="908"/>
      <c r="I918" s="908"/>
      <c r="J918" s="908"/>
      <c r="K918" s="900"/>
      <c r="L918" s="900"/>
    </row>
    <row r="919" spans="1:12" ht="15.75" customHeight="1">
      <c r="A919" s="908"/>
      <c r="B919" s="908"/>
      <c r="C919" s="908"/>
      <c r="D919" s="908"/>
      <c r="E919" s="908"/>
      <c r="F919" s="908"/>
      <c r="G919" s="908"/>
      <c r="H919" s="908"/>
      <c r="I919" s="908"/>
      <c r="J919" s="908"/>
      <c r="K919" s="900"/>
      <c r="L919" s="900"/>
    </row>
    <row r="920" spans="1:12" ht="15.75" customHeight="1">
      <c r="A920" s="908"/>
      <c r="B920" s="908"/>
      <c r="C920" s="908"/>
      <c r="D920" s="908"/>
      <c r="E920" s="908"/>
      <c r="F920" s="908"/>
      <c r="G920" s="908"/>
      <c r="H920" s="908"/>
      <c r="I920" s="908"/>
      <c r="J920" s="908"/>
      <c r="K920" s="900"/>
      <c r="L920" s="900"/>
    </row>
    <row r="921" spans="1:12" ht="15.75" customHeight="1">
      <c r="A921" s="908"/>
      <c r="B921" s="908"/>
      <c r="C921" s="908"/>
      <c r="D921" s="908"/>
      <c r="E921" s="908"/>
      <c r="F921" s="908"/>
      <c r="G921" s="908"/>
      <c r="H921" s="908"/>
      <c r="I921" s="908"/>
      <c r="J921" s="908"/>
      <c r="K921" s="900"/>
      <c r="L921" s="900"/>
    </row>
    <row r="922" spans="1:12" ht="15.75" customHeight="1">
      <c r="A922" s="908"/>
      <c r="B922" s="908"/>
      <c r="C922" s="908"/>
      <c r="D922" s="908"/>
      <c r="E922" s="908"/>
      <c r="F922" s="908"/>
      <c r="G922" s="908"/>
      <c r="H922" s="908"/>
      <c r="I922" s="908"/>
      <c r="J922" s="908"/>
      <c r="K922" s="900"/>
      <c r="L922" s="900"/>
    </row>
    <row r="923" spans="1:12" ht="15.75" customHeight="1">
      <c r="A923" s="908"/>
      <c r="B923" s="908"/>
      <c r="C923" s="908"/>
      <c r="D923" s="908"/>
      <c r="E923" s="908"/>
      <c r="F923" s="908"/>
      <c r="G923" s="908"/>
      <c r="H923" s="908"/>
      <c r="I923" s="908"/>
      <c r="J923" s="908"/>
      <c r="K923" s="900"/>
      <c r="L923" s="900"/>
    </row>
    <row r="924" spans="1:12" ht="15.75" customHeight="1">
      <c r="A924" s="908"/>
      <c r="B924" s="908"/>
      <c r="C924" s="908"/>
      <c r="D924" s="908"/>
      <c r="E924" s="908"/>
      <c r="F924" s="908"/>
      <c r="G924" s="908"/>
      <c r="H924" s="908"/>
      <c r="I924" s="908"/>
      <c r="J924" s="908"/>
      <c r="K924" s="900"/>
      <c r="L924" s="900"/>
    </row>
    <row r="925" spans="1:12" ht="15.75" customHeight="1">
      <c r="A925" s="908"/>
      <c r="B925" s="908"/>
      <c r="C925" s="908"/>
      <c r="D925" s="908"/>
      <c r="E925" s="908"/>
      <c r="F925" s="908"/>
      <c r="G925" s="908"/>
      <c r="H925" s="908"/>
      <c r="I925" s="908"/>
      <c r="J925" s="908"/>
      <c r="K925" s="900"/>
      <c r="L925" s="900"/>
    </row>
    <row r="926" spans="1:12" ht="15.75" customHeight="1">
      <c r="A926" s="908"/>
      <c r="B926" s="908"/>
      <c r="C926" s="908"/>
      <c r="D926" s="908"/>
      <c r="E926" s="908"/>
      <c r="F926" s="908"/>
      <c r="G926" s="908"/>
      <c r="H926" s="908"/>
      <c r="I926" s="908"/>
      <c r="J926" s="908"/>
      <c r="K926" s="900"/>
      <c r="L926" s="900"/>
    </row>
    <row r="927" spans="1:12" ht="15.75" customHeight="1">
      <c r="A927" s="908"/>
      <c r="B927" s="908"/>
      <c r="C927" s="908"/>
      <c r="D927" s="908"/>
      <c r="E927" s="908"/>
      <c r="F927" s="908"/>
      <c r="G927" s="908"/>
      <c r="H927" s="908"/>
      <c r="I927" s="908"/>
      <c r="J927" s="908"/>
      <c r="K927" s="900"/>
      <c r="L927" s="900"/>
    </row>
    <row r="928" spans="1:12" ht="15.75" customHeight="1">
      <c r="A928" s="908"/>
      <c r="B928" s="908"/>
      <c r="C928" s="908"/>
      <c r="D928" s="908"/>
      <c r="E928" s="908"/>
      <c r="F928" s="908"/>
      <c r="G928" s="908"/>
      <c r="H928" s="908"/>
      <c r="I928" s="908"/>
      <c r="J928" s="908"/>
      <c r="K928" s="900"/>
      <c r="L928" s="900"/>
    </row>
    <row r="929" spans="1:12" ht="15.75" customHeight="1">
      <c r="A929" s="908"/>
      <c r="B929" s="908"/>
      <c r="C929" s="908"/>
      <c r="D929" s="908"/>
      <c r="E929" s="908"/>
      <c r="F929" s="908"/>
      <c r="G929" s="908"/>
      <c r="H929" s="908"/>
      <c r="I929" s="908"/>
      <c r="J929" s="908"/>
      <c r="K929" s="900"/>
      <c r="L929" s="900"/>
    </row>
  </sheetData>
  <mergeCells count="386">
    <mergeCell ref="B208:J208"/>
    <mergeCell ref="B209:J209"/>
    <mergeCell ref="I204:J204"/>
    <mergeCell ref="I205:J205"/>
    <mergeCell ref="I206:J206"/>
    <mergeCell ref="I207:J207"/>
    <mergeCell ref="B201:E201"/>
    <mergeCell ref="B202:E202"/>
    <mergeCell ref="F202:G202"/>
    <mergeCell ref="I202:J202"/>
    <mergeCell ref="B203:E203"/>
    <mergeCell ref="B204:E204"/>
    <mergeCell ref="F204:G204"/>
    <mergeCell ref="B205:E205"/>
    <mergeCell ref="F205:G205"/>
    <mergeCell ref="B206:E206"/>
    <mergeCell ref="F206:G206"/>
    <mergeCell ref="B207:G207"/>
    <mergeCell ref="B195:I195"/>
    <mergeCell ref="B196:J196"/>
    <mergeCell ref="B197:J197"/>
    <mergeCell ref="B199:J199"/>
    <mergeCell ref="B200:E200"/>
    <mergeCell ref="I200:J200"/>
    <mergeCell ref="F201:G201"/>
    <mergeCell ref="I201:J201"/>
    <mergeCell ref="I203:J203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C194:I194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C169:H169"/>
    <mergeCell ref="C170:H170"/>
    <mergeCell ref="C171:H171"/>
    <mergeCell ref="C172:H172"/>
    <mergeCell ref="C173:H173"/>
    <mergeCell ref="C174:H174"/>
    <mergeCell ref="C175:H175"/>
    <mergeCell ref="C176:H176"/>
    <mergeCell ref="B177:I177"/>
    <mergeCell ref="B159:J159"/>
    <mergeCell ref="B161:J161"/>
    <mergeCell ref="C162:H162"/>
    <mergeCell ref="B163:H163"/>
    <mergeCell ref="C164:H164"/>
    <mergeCell ref="B165:H165"/>
    <mergeCell ref="C166:H166"/>
    <mergeCell ref="B167:H167"/>
    <mergeCell ref="C168:H168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41:J141"/>
    <mergeCell ref="C142:I142"/>
    <mergeCell ref="C143:I143"/>
    <mergeCell ref="B144:I144"/>
    <mergeCell ref="B145:J145"/>
    <mergeCell ref="B146:J146"/>
    <mergeCell ref="C147:I147"/>
    <mergeCell ref="C148:I148"/>
    <mergeCell ref="C149:I149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H121"/>
    <mergeCell ref="C105:E105"/>
    <mergeCell ref="F105:H105"/>
    <mergeCell ref="C106:I106"/>
    <mergeCell ref="B107:J107"/>
    <mergeCell ref="B108:J108"/>
    <mergeCell ref="B109:J109"/>
    <mergeCell ref="B110:J110"/>
    <mergeCell ref="C111:I111"/>
    <mergeCell ref="C112:I112"/>
    <mergeCell ref="C96:G96"/>
    <mergeCell ref="C97:I97"/>
    <mergeCell ref="C98:H98"/>
    <mergeCell ref="C99:G99"/>
    <mergeCell ref="C100:G100"/>
    <mergeCell ref="C101:I101"/>
    <mergeCell ref="C102:I102"/>
    <mergeCell ref="C103:I103"/>
    <mergeCell ref="C104:I104"/>
    <mergeCell ref="B88:J88"/>
    <mergeCell ref="B89:J89"/>
    <mergeCell ref="B90:J90"/>
    <mergeCell ref="C91:I91"/>
    <mergeCell ref="C92:H92"/>
    <mergeCell ref="C93:H93"/>
    <mergeCell ref="C94:H94"/>
    <mergeCell ref="C95:E95"/>
    <mergeCell ref="F95:G95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E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333:J333"/>
    <mergeCell ref="B334:E334"/>
    <mergeCell ref="I334:J334"/>
    <mergeCell ref="B335:E335"/>
    <mergeCell ref="I335:J33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B323:I323"/>
    <mergeCell ref="C324:I324"/>
    <mergeCell ref="C325:I325"/>
    <mergeCell ref="C326:I326"/>
    <mergeCell ref="C327:I327"/>
    <mergeCell ref="C328:I328"/>
    <mergeCell ref="B329:I329"/>
    <mergeCell ref="C330:I330"/>
    <mergeCell ref="B331:I331"/>
    <mergeCell ref="C313:H313"/>
    <mergeCell ref="C314:H314"/>
    <mergeCell ref="C315:H315"/>
    <mergeCell ref="C316:H316"/>
    <mergeCell ref="C317:H317"/>
    <mergeCell ref="C318:H318"/>
    <mergeCell ref="C319:H319"/>
    <mergeCell ref="C320:H320"/>
    <mergeCell ref="B321:I321"/>
    <mergeCell ref="B302:B303"/>
    <mergeCell ref="C304:I304"/>
    <mergeCell ref="C306:H306"/>
    <mergeCell ref="B307:H307"/>
    <mergeCell ref="C308:H308"/>
    <mergeCell ref="B309:H309"/>
    <mergeCell ref="C310:H310"/>
    <mergeCell ref="B311:H311"/>
    <mergeCell ref="C312:H312"/>
    <mergeCell ref="C289:I289"/>
    <mergeCell ref="C290:I290"/>
    <mergeCell ref="C291:I291"/>
    <mergeCell ref="C292:I292"/>
    <mergeCell ref="B293:I293"/>
    <mergeCell ref="C294:I294"/>
    <mergeCell ref="B295:I295"/>
    <mergeCell ref="B299:J299"/>
    <mergeCell ref="C300:I300"/>
    <mergeCell ref="C277:H277"/>
    <mergeCell ref="C278:H278"/>
    <mergeCell ref="C279:H279"/>
    <mergeCell ref="B341:G341"/>
    <mergeCell ref="H341:J341"/>
    <mergeCell ref="B342:J342"/>
    <mergeCell ref="B344:E344"/>
    <mergeCell ref="B345:E345"/>
    <mergeCell ref="B346:E346"/>
    <mergeCell ref="B336:J336"/>
    <mergeCell ref="B337:G337"/>
    <mergeCell ref="H337:J337"/>
    <mergeCell ref="B338:J338"/>
    <mergeCell ref="B339:G339"/>
    <mergeCell ref="H339:J339"/>
    <mergeCell ref="B340:J340"/>
    <mergeCell ref="C280:H280"/>
    <mergeCell ref="C281:H281"/>
    <mergeCell ref="C282:H282"/>
    <mergeCell ref="C283:H283"/>
    <mergeCell ref="C284:H284"/>
    <mergeCell ref="B285:I285"/>
    <mergeCell ref="B287:I287"/>
    <mergeCell ref="C288:I288"/>
    <mergeCell ref="C250:I250"/>
    <mergeCell ref="C251:H251"/>
    <mergeCell ref="C252:I252"/>
    <mergeCell ref="C253:H253"/>
    <mergeCell ref="B254:I254"/>
    <mergeCell ref="B273:H273"/>
    <mergeCell ref="C274:H274"/>
    <mergeCell ref="B275:H275"/>
    <mergeCell ref="C276:H276"/>
    <mergeCell ref="C240:H240"/>
    <mergeCell ref="C241:H241"/>
    <mergeCell ref="C242:H242"/>
    <mergeCell ref="C243:H243"/>
    <mergeCell ref="C244:H244"/>
    <mergeCell ref="B245:H245"/>
    <mergeCell ref="B247:J247"/>
    <mergeCell ref="C248:I248"/>
    <mergeCell ref="C249:I249"/>
    <mergeCell ref="B230:J230"/>
    <mergeCell ref="C231:I231"/>
    <mergeCell ref="C232:H232"/>
    <mergeCell ref="C233:H233"/>
    <mergeCell ref="B234:I234"/>
    <mergeCell ref="C236:H236"/>
    <mergeCell ref="C237:H237"/>
    <mergeCell ref="C238:H238"/>
    <mergeCell ref="C239:D239"/>
    <mergeCell ref="B267:I267"/>
    <mergeCell ref="B269:J269"/>
    <mergeCell ref="C270:H270"/>
    <mergeCell ref="B271:H271"/>
    <mergeCell ref="C272:H272"/>
    <mergeCell ref="B210:J210"/>
    <mergeCell ref="B211:G211"/>
    <mergeCell ref="H211:J211"/>
    <mergeCell ref="B212:J212"/>
    <mergeCell ref="B213:G213"/>
    <mergeCell ref="H213:J213"/>
    <mergeCell ref="B214:J214"/>
    <mergeCell ref="B215:G215"/>
    <mergeCell ref="H215:J215"/>
    <mergeCell ref="B216:J216"/>
    <mergeCell ref="B220:J220"/>
    <mergeCell ref="C221:H221"/>
    <mergeCell ref="C222:E222"/>
    <mergeCell ref="C223:E223"/>
    <mergeCell ref="C224:E224"/>
    <mergeCell ref="C225:E225"/>
    <mergeCell ref="C226:I226"/>
    <mergeCell ref="B227:I227"/>
    <mergeCell ref="B229:J229"/>
    <mergeCell ref="B256:J256"/>
    <mergeCell ref="B259:J259"/>
    <mergeCell ref="C260:I260"/>
    <mergeCell ref="C261:G261"/>
    <mergeCell ref="C262:I262"/>
    <mergeCell ref="C263:I263"/>
    <mergeCell ref="C264:I264"/>
    <mergeCell ref="C265:I265"/>
    <mergeCell ref="C266:I266"/>
  </mergeCells>
  <conditionalFormatting sqref="I48:I50">
    <cfRule type="cellIs" dxfId="88" priority="2" operator="equal">
      <formula>0</formula>
    </cfRule>
  </conditionalFormatting>
  <conditionalFormatting sqref="I121">
    <cfRule type="cellIs" dxfId="87" priority="1" operator="notEqual">
      <formula>"OK"</formula>
    </cfRule>
  </conditionalFormatting>
  <conditionalFormatting sqref="J133 J261">
    <cfRule type="cellIs" dxfId="86" priority="4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46" orientation="portrait" r:id="rId1"/>
  <headerFooter>
    <oddFooter>&amp;C&amp;A » Página -&amp;P  de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FF"/>
    <pageSetUpPr fitToPage="1"/>
  </sheetPr>
  <dimension ref="A1:L1015"/>
  <sheetViews>
    <sheetView view="pageBreakPreview" topLeftCell="A71" zoomScale="60" zoomScaleNormal="100"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14.7265625" customWidth="1"/>
    <col min="4" max="4" width="28" customWidth="1"/>
    <col min="5" max="5" width="26.54296875" customWidth="1"/>
    <col min="6" max="6" width="39" customWidth="1"/>
    <col min="7" max="7" width="25.7265625" customWidth="1"/>
    <col min="8" max="8" width="28.81640625" customWidth="1"/>
    <col min="9" max="9" width="19.81640625" customWidth="1"/>
    <col min="10" max="10" width="30.08984375" customWidth="1"/>
    <col min="11" max="11" width="51.453125" hidden="1" customWidth="1"/>
    <col min="12" max="12" width="75.26953125" hidden="1" customWidth="1"/>
  </cols>
  <sheetData>
    <row r="1" spans="1:12" ht="13.5" customHeight="1">
      <c r="A1" s="716" t="b">
        <v>1</v>
      </c>
      <c r="B1" s="985" t="s">
        <v>308</v>
      </c>
      <c r="C1" s="986"/>
      <c r="D1" s="986"/>
      <c r="E1" s="986"/>
      <c r="F1" s="986"/>
      <c r="G1" s="986"/>
      <c r="H1" s="986"/>
      <c r="I1" s="986"/>
      <c r="J1" s="987"/>
      <c r="K1" s="718"/>
      <c r="L1" s="718"/>
    </row>
    <row r="2" spans="1:12" ht="32.25" customHeight="1">
      <c r="A2" s="716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  <c r="L2" s="719"/>
    </row>
    <row r="3" spans="1:12" ht="24" customHeight="1">
      <c r="A3" s="716"/>
      <c r="B3" s="1634" t="str">
        <f>'1-ABA-DE-CARREGAMENTO'!D33</f>
        <v>5162_20_CUIDADOR-de-ALUNOS_20h</v>
      </c>
      <c r="C3" s="1575"/>
      <c r="D3" s="1575"/>
      <c r="E3" s="1575"/>
      <c r="F3" s="1575"/>
      <c r="G3" s="1575"/>
      <c r="H3" s="1575"/>
      <c r="I3" s="1575"/>
      <c r="J3" s="1608"/>
      <c r="K3" s="720"/>
      <c r="L3" s="720"/>
    </row>
    <row r="4" spans="1:12" ht="15.75" customHeight="1">
      <c r="A4" s="716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  <c r="L4" s="721"/>
    </row>
    <row r="5" spans="1:12" ht="15.75" customHeight="1">
      <c r="A5" s="716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  <c r="L5" s="721"/>
    </row>
    <row r="6" spans="1:12" ht="14.25" customHeight="1">
      <c r="A6" s="716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  <c r="L6" s="723"/>
    </row>
    <row r="7" spans="1:12" ht="20.25" customHeight="1">
      <c r="A7" s="716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  <c r="L7" s="724"/>
    </row>
    <row r="8" spans="1:12" ht="15.75" customHeight="1">
      <c r="A8" s="716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  <c r="L8" s="725"/>
    </row>
    <row r="9" spans="1:12" ht="15.75" customHeight="1">
      <c r="A9" s="716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  <c r="L9" s="721"/>
    </row>
    <row r="10" spans="1:12" ht="19.5" customHeight="1">
      <c r="A10" s="716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'1-ABA-DE-CARREGAMENTO'!D35</f>
        <v>RS000041/2026</v>
      </c>
      <c r="J10" s="1478"/>
      <c r="K10" s="721"/>
      <c r="L10" s="721"/>
    </row>
    <row r="11" spans="1:12" ht="15.75" customHeight="1">
      <c r="A11" s="716"/>
      <c r="B11" s="726" t="s">
        <v>318</v>
      </c>
      <c r="C11" s="1563" t="s">
        <v>319</v>
      </c>
      <c r="D11" s="1477"/>
      <c r="E11" s="1477"/>
      <c r="F11" s="1477"/>
      <c r="G11" s="1477"/>
      <c r="H11" s="1478"/>
      <c r="I11" s="1567">
        <f>'1-ABA-DE-CARREGAMENTO'!D94</f>
        <v>30</v>
      </c>
      <c r="J11" s="1478"/>
      <c r="K11" s="721"/>
      <c r="L11" s="721"/>
    </row>
    <row r="12" spans="1:12" ht="21" customHeight="1">
      <c r="A12" s="716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  <c r="L12" s="727"/>
    </row>
    <row r="13" spans="1:12" ht="50.25" customHeight="1">
      <c r="A13" s="716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  <c r="L13" s="697"/>
    </row>
    <row r="14" spans="1:12" ht="12.75" hidden="1" customHeight="1" outlineLevel="1">
      <c r="A14" s="716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  <c r="L14" s="728"/>
    </row>
    <row r="15" spans="1:12" ht="12.75" hidden="1" customHeight="1" outlineLevel="1">
      <c r="A15" s="716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  <c r="L15" s="728"/>
    </row>
    <row r="16" spans="1:12" ht="12.75" hidden="1" customHeight="1" outlineLevel="1">
      <c r="A16" s="716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  <c r="L16" s="728"/>
    </row>
    <row r="17" spans="1:12" ht="12.75" customHeight="1" collapsed="1">
      <c r="A17" s="716"/>
      <c r="B17" s="1611" t="str">
        <f>B3</f>
        <v>5162_20_CUIDADOR-de-ALUNOS_20h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'1-ABA-DE-CARREGAMENTO'!D92</f>
        <v>0</v>
      </c>
      <c r="J17" s="1478"/>
      <c r="K17" s="728"/>
      <c r="L17" s="728"/>
    </row>
    <row r="18" spans="1:12" ht="12.75" hidden="1" customHeight="1" outlineLevel="1">
      <c r="A18" s="716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  <c r="L18" s="728"/>
    </row>
    <row r="19" spans="1:12" ht="12.75" hidden="1" customHeight="1" outlineLevel="1">
      <c r="A19" s="716"/>
      <c r="B19" s="1611" t="s">
        <v>587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  <c r="L19" s="728"/>
    </row>
    <row r="20" spans="1:12" ht="12.75" customHeight="1" collapsed="1">
      <c r="A20" s="716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0</v>
      </c>
      <c r="J20" s="1478"/>
      <c r="K20" s="729"/>
      <c r="L20" s="729"/>
    </row>
    <row r="21" spans="1:12" ht="8.25" customHeight="1">
      <c r="A21" s="716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  <c r="L21" s="697"/>
    </row>
    <row r="22" spans="1:12" ht="46.5" customHeight="1">
      <c r="A22" s="716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  <c r="L22" s="730"/>
    </row>
    <row r="23" spans="1:12" ht="7.5" customHeight="1">
      <c r="A23" s="716"/>
      <c r="B23" s="1618"/>
      <c r="C23" s="1477"/>
      <c r="D23" s="1477"/>
      <c r="E23" s="1477"/>
      <c r="F23" s="1477"/>
      <c r="G23" s="1477"/>
      <c r="H23" s="1477"/>
      <c r="I23" s="1477"/>
      <c r="J23" s="1478"/>
      <c r="K23" s="697"/>
      <c r="L23" s="697"/>
    </row>
    <row r="24" spans="1:12" ht="51.75" customHeight="1">
      <c r="A24" s="716"/>
      <c r="B24" s="1619" t="s">
        <v>588</v>
      </c>
      <c r="C24" s="1477"/>
      <c r="D24" s="1477"/>
      <c r="E24" s="1477"/>
      <c r="F24" s="1477"/>
      <c r="G24" s="1477"/>
      <c r="H24" s="1477"/>
      <c r="I24" s="1477"/>
      <c r="J24" s="1478"/>
      <c r="K24" s="731"/>
      <c r="L24" s="731"/>
    </row>
    <row r="25" spans="1:12" ht="9.75" customHeight="1">
      <c r="A25" s="716"/>
      <c r="B25" s="1620"/>
      <c r="C25" s="1477"/>
      <c r="D25" s="1477"/>
      <c r="E25" s="1477"/>
      <c r="F25" s="1477"/>
      <c r="G25" s="1477"/>
      <c r="H25" s="1477"/>
      <c r="I25" s="1477"/>
      <c r="J25" s="1478"/>
      <c r="K25" s="724"/>
      <c r="L25" s="724"/>
    </row>
    <row r="26" spans="1:12" ht="21.7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  <c r="L26" s="724"/>
    </row>
    <row r="27" spans="1:12" ht="27" customHeight="1">
      <c r="A27" s="716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'1-ABA-DE-CARREGAMENTO'!D33</f>
        <v>5162_20_CUIDADOR-de-ALUNOS_20h</v>
      </c>
      <c r="J27" s="1478"/>
      <c r="K27" s="732">
        <f>F29/200</f>
        <v>10.805250000000001</v>
      </c>
      <c r="L27" s="732"/>
    </row>
    <row r="28" spans="1:12" ht="19.5" customHeight="1">
      <c r="A28" s="716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624" t="str">
        <f>LEFT(I27,7)</f>
        <v>5162_20</v>
      </c>
      <c r="J28" s="1478"/>
      <c r="K28" s="734">
        <f>F29/220</f>
        <v>9.8229545454545466</v>
      </c>
      <c r="L28" s="734"/>
    </row>
    <row r="29" spans="1:12" ht="55.5" customHeight="1">
      <c r="A29" s="716"/>
      <c r="B29" s="696">
        <v>3</v>
      </c>
      <c r="C29" s="1625" t="s">
        <v>336</v>
      </c>
      <c r="D29" s="1468"/>
      <c r="E29" s="988">
        <v>220</v>
      </c>
      <c r="F29" s="989">
        <f>'1-ABA-DE-CARREGAMENTO'!D37</f>
        <v>2161.0500000000002</v>
      </c>
      <c r="G29" s="738" t="s">
        <v>337</v>
      </c>
      <c r="H29" s="739">
        <v>100</v>
      </c>
      <c r="I29" s="1708">
        <f>F29/200*H29</f>
        <v>1080.5250000000001</v>
      </c>
      <c r="J29" s="1478"/>
      <c r="K29" s="740"/>
      <c r="L29" s="740"/>
    </row>
    <row r="30" spans="1:12" ht="15.75" customHeight="1">
      <c r="A30" s="716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  <c r="L30" s="741"/>
    </row>
    <row r="31" spans="1:12" ht="15.75" customHeight="1">
      <c r="A31" s="716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'1-ABA-DE-CARREGAMENTO'!D36</f>
        <v>01 de JANEIRO</v>
      </c>
      <c r="J31" s="1478"/>
      <c r="K31" s="742"/>
      <c r="L31" s="742"/>
    </row>
    <row r="32" spans="1:12" ht="27" customHeight="1">
      <c r="A32" s="716"/>
      <c r="B32" s="743">
        <v>6</v>
      </c>
      <c r="C32" s="1560" t="s">
        <v>589</v>
      </c>
      <c r="D32" s="1477"/>
      <c r="E32" s="1477"/>
      <c r="F32" s="1477"/>
      <c r="G32" s="1477"/>
      <c r="H32" s="1478"/>
      <c r="I32" s="1630">
        <f>ROUND(F29/200,2)</f>
        <v>10.81</v>
      </c>
      <c r="J32" s="1478"/>
      <c r="K32" s="990" t="s">
        <v>590</v>
      </c>
      <c r="L32" s="744"/>
    </row>
    <row r="33" spans="1:12" ht="27" customHeight="1">
      <c r="A33" s="716"/>
      <c r="B33" s="743">
        <v>7</v>
      </c>
      <c r="C33" s="1560" t="s">
        <v>591</v>
      </c>
      <c r="D33" s="1477"/>
      <c r="E33" s="1477"/>
      <c r="F33" s="1478"/>
      <c r="G33" s="1709"/>
      <c r="H33" s="1478"/>
      <c r="I33" s="1632">
        <f>(I32*I50)+I32</f>
        <v>15.134</v>
      </c>
      <c r="J33" s="1478"/>
      <c r="K33" s="744"/>
      <c r="L33" s="744"/>
    </row>
    <row r="34" spans="1:12" ht="27" customHeight="1">
      <c r="A34" s="716"/>
      <c r="B34" s="743">
        <v>8</v>
      </c>
      <c r="C34" s="1560" t="s">
        <v>592</v>
      </c>
      <c r="D34" s="1477"/>
      <c r="E34" s="1477"/>
      <c r="F34" s="1478"/>
      <c r="G34" s="1631"/>
      <c r="H34" s="1478"/>
      <c r="I34" s="1630">
        <f t="shared" ref="I34:I35" si="0">I32*1.5</f>
        <v>16.215</v>
      </c>
      <c r="J34" s="1478"/>
      <c r="K34" s="744"/>
      <c r="L34" s="744"/>
    </row>
    <row r="35" spans="1:12" ht="23.25" customHeight="1">
      <c r="A35" s="716"/>
      <c r="B35" s="743">
        <v>9</v>
      </c>
      <c r="C35" s="1560" t="s">
        <v>593</v>
      </c>
      <c r="D35" s="1477"/>
      <c r="E35" s="1477"/>
      <c r="F35" s="1478"/>
      <c r="G35" s="1631" t="s">
        <v>344</v>
      </c>
      <c r="H35" s="1478"/>
      <c r="I35" s="1632">
        <f t="shared" si="0"/>
        <v>22.701000000000001</v>
      </c>
      <c r="J35" s="1478"/>
      <c r="K35" s="744"/>
      <c r="L35" s="744"/>
    </row>
    <row r="36" spans="1:12" ht="36.75" customHeight="1">
      <c r="A36" s="716"/>
      <c r="B36" s="743">
        <v>10</v>
      </c>
      <c r="C36" s="1710" t="s">
        <v>594</v>
      </c>
      <c r="D36" s="1477"/>
      <c r="E36" s="1477"/>
      <c r="F36" s="1477"/>
      <c r="G36" s="1477"/>
      <c r="H36" s="1478"/>
      <c r="I36" s="1642">
        <f>I33*1.2</f>
        <v>18.160799999999998</v>
      </c>
      <c r="J36" s="1478"/>
      <c r="K36" s="744"/>
      <c r="L36" s="744"/>
    </row>
    <row r="37" spans="1:12" ht="27" customHeight="1">
      <c r="A37" s="716"/>
      <c r="B37" s="743">
        <v>11</v>
      </c>
      <c r="C37" s="1645" t="s">
        <v>595</v>
      </c>
      <c r="D37" s="1481"/>
      <c r="E37" s="1481"/>
      <c r="F37" s="1481"/>
      <c r="G37" s="1481"/>
      <c r="H37" s="1623"/>
      <c r="I37" s="1643">
        <f>I33*2</f>
        <v>30.268000000000001</v>
      </c>
      <c r="J37" s="1478"/>
      <c r="K37" s="744"/>
      <c r="L37" s="744"/>
    </row>
    <row r="38" spans="1:12" ht="31.5" hidden="1" customHeight="1" outlineLevel="1">
      <c r="A38" s="716"/>
      <c r="B38" s="794">
        <v>12</v>
      </c>
      <c r="C38" s="1560" t="s">
        <v>596</v>
      </c>
      <c r="D38" s="1477"/>
      <c r="E38" s="991">
        <f>ROUND(I38/220,2)</f>
        <v>0</v>
      </c>
      <c r="F38" s="1711" t="s">
        <v>597</v>
      </c>
      <c r="G38" s="1477"/>
      <c r="H38" s="1478"/>
      <c r="I38" s="1712">
        <f>I29*'1-ABA-DE-CARREGAMENTO'!D44</f>
        <v>0</v>
      </c>
      <c r="J38" s="1478"/>
      <c r="K38" s="744"/>
      <c r="L38" s="744"/>
    </row>
    <row r="39" spans="1:12" ht="15.75" hidden="1" customHeight="1" outlineLevel="1">
      <c r="A39" s="716"/>
      <c r="B39" s="743">
        <v>13</v>
      </c>
      <c r="C39" s="1713" t="s">
        <v>348</v>
      </c>
      <c r="D39" s="1575"/>
      <c r="E39" s="1575"/>
      <c r="F39" s="1575"/>
      <c r="G39" s="1575"/>
      <c r="H39" s="1608"/>
      <c r="I39" s="1630">
        <f>ROUND(I32/6,2)*1.3*0</f>
        <v>0</v>
      </c>
      <c r="J39" s="1478"/>
      <c r="K39" s="744"/>
      <c r="L39" s="744"/>
    </row>
    <row r="40" spans="1:12" ht="24.75" customHeight="1" collapsed="1">
      <c r="A40" s="716"/>
      <c r="B40" s="746">
        <v>14</v>
      </c>
      <c r="C40" s="1646" t="s">
        <v>349</v>
      </c>
      <c r="D40" s="1647"/>
      <c r="E40" s="1647"/>
      <c r="F40" s="1647"/>
      <c r="G40" s="1647"/>
      <c r="H40" s="1648"/>
      <c r="I40" s="1649">
        <f>'1-ABA-DE-CARREGAMENTO'!D93</f>
        <v>1</v>
      </c>
      <c r="J40" s="1650"/>
      <c r="K40" s="747"/>
      <c r="L40" s="747"/>
    </row>
    <row r="41" spans="1:12" ht="15.75" customHeight="1">
      <c r="A41" s="716"/>
      <c r="B41" s="743">
        <v>15</v>
      </c>
      <c r="C41" s="1651" t="s">
        <v>350</v>
      </c>
      <c r="D41" s="1575"/>
      <c r="E41" s="1575"/>
      <c r="F41" s="1575"/>
      <c r="G41" s="1575"/>
      <c r="H41" s="1608"/>
      <c r="I41" s="1714">
        <f>'1-ABA-DE-CARREGAMENTO'!D42</f>
        <v>1621</v>
      </c>
      <c r="J41" s="1478"/>
      <c r="K41" s="749"/>
      <c r="L41" s="749"/>
    </row>
    <row r="42" spans="1:12" ht="9" customHeight="1">
      <c r="A42" s="716"/>
      <c r="B42" s="1618"/>
      <c r="C42" s="1477"/>
      <c r="D42" s="1477"/>
      <c r="E42" s="1477"/>
      <c r="F42" s="1477"/>
      <c r="G42" s="1477"/>
      <c r="H42" s="1477"/>
      <c r="I42" s="1477"/>
      <c r="J42" s="1478"/>
      <c r="K42" s="697"/>
      <c r="L42" s="697"/>
    </row>
    <row r="43" spans="1:12" ht="21.75" customHeight="1">
      <c r="A43" s="716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  <c r="L43" s="750"/>
    </row>
    <row r="44" spans="1:12" ht="9" customHeight="1">
      <c r="A44" s="716"/>
      <c r="B44" s="1570"/>
      <c r="C44" s="1477"/>
      <c r="D44" s="1477"/>
      <c r="E44" s="1477"/>
      <c r="F44" s="1477"/>
      <c r="G44" s="1477"/>
      <c r="H44" s="1477"/>
      <c r="I44" s="1477"/>
      <c r="J44" s="1478"/>
      <c r="K44" s="723"/>
      <c r="L44" s="723"/>
    </row>
    <row r="45" spans="1:12" ht="20.25" customHeight="1">
      <c r="A45" s="716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  <c r="L45" s="751"/>
    </row>
    <row r="46" spans="1:12" ht="30" customHeight="1">
      <c r="A46" s="75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992" t="s">
        <v>355</v>
      </c>
      <c r="K46" s="727"/>
      <c r="L46" s="727"/>
    </row>
    <row r="47" spans="1:12" ht="33" customHeight="1">
      <c r="A47" s="716"/>
      <c r="B47" s="696" t="s">
        <v>312</v>
      </c>
      <c r="C47" s="1577" t="s">
        <v>598</v>
      </c>
      <c r="D47" s="1477"/>
      <c r="E47" s="1477"/>
      <c r="F47" s="1478"/>
      <c r="G47" s="755" t="s">
        <v>52</v>
      </c>
      <c r="H47" s="756">
        <f>'1-ABA-DE-CARREGAMENTO'!D52</f>
        <v>100</v>
      </c>
      <c r="I47" s="755"/>
      <c r="J47" s="993">
        <f>I29*I40</f>
        <v>1080.5250000000001</v>
      </c>
      <c r="K47" s="759"/>
      <c r="L47" s="759"/>
    </row>
    <row r="48" spans="1:12" ht="15.75" customHeight="1">
      <c r="A48" s="716"/>
      <c r="B48" s="696" t="s">
        <v>314</v>
      </c>
      <c r="C48" s="1577" t="s">
        <v>599</v>
      </c>
      <c r="D48" s="1477"/>
      <c r="E48" s="1477"/>
      <c r="F48" s="1654" t="str">
        <f>'1-ABA-DE-CARREGAMENTO'!D38</f>
        <v>SEM ADICIONAL DE FUNÇÃO</v>
      </c>
      <c r="G48" s="1477"/>
      <c r="H48" s="1478"/>
      <c r="I48" s="994">
        <f>'1-ABA-DE-CARREGAMENTO'!D39</f>
        <v>0</v>
      </c>
      <c r="J48" s="995">
        <f>(IF(I9="PANAMBI ",0.5,1))*I48*I41</f>
        <v>0</v>
      </c>
      <c r="K48" s="759"/>
      <c r="L48" s="759"/>
    </row>
    <row r="49" spans="1:12" ht="30" customHeight="1">
      <c r="A49" s="716"/>
      <c r="B49" s="696" t="s">
        <v>316</v>
      </c>
      <c r="C49" s="1577" t="s">
        <v>600</v>
      </c>
      <c r="D49" s="1477"/>
      <c r="E49" s="1477"/>
      <c r="F49" s="1477"/>
      <c r="G49" s="1477"/>
      <c r="H49" s="1478"/>
      <c r="I49" s="871">
        <f>'1-ABA-DE-CARREGAMENTO'!D44</f>
        <v>0</v>
      </c>
      <c r="J49" s="758">
        <f>ROUND(J47*I49,2)</f>
        <v>0</v>
      </c>
      <c r="K49" s="759"/>
      <c r="L49" s="759"/>
    </row>
    <row r="50" spans="1:12" ht="30" customHeight="1">
      <c r="A50" s="716"/>
      <c r="B50" s="696" t="s">
        <v>318</v>
      </c>
      <c r="C50" s="1577" t="s">
        <v>601</v>
      </c>
      <c r="D50" s="1477"/>
      <c r="E50" s="1477"/>
      <c r="F50" s="1477"/>
      <c r="G50" s="1655" t="str">
        <f>'1-ABA-DE-CARREGAMENTO'!D40</f>
        <v>INSALUB S/NORMATIVO</v>
      </c>
      <c r="H50" s="1478"/>
      <c r="I50" s="762">
        <f>'1-ABA-DE-CARREGAMENTO'!D41</f>
        <v>0.4</v>
      </c>
      <c r="J50" s="758">
        <f>ROUND(I50*I29,2)</f>
        <v>432.21</v>
      </c>
      <c r="K50" s="759"/>
      <c r="L50" s="759"/>
    </row>
    <row r="51" spans="1:12" ht="40.5" customHeight="1" outlineLevel="1">
      <c r="A51" s="716"/>
      <c r="B51" s="696" t="s">
        <v>360</v>
      </c>
      <c r="C51" s="1573" t="s">
        <v>602</v>
      </c>
      <c r="D51" s="1477"/>
      <c r="E51" s="1478"/>
      <c r="F51" s="763" t="s">
        <v>362</v>
      </c>
      <c r="G51" s="764">
        <v>0</v>
      </c>
      <c r="H51" s="763" t="s">
        <v>363</v>
      </c>
      <c r="I51" s="765">
        <f>I36</f>
        <v>18.160799999999998</v>
      </c>
      <c r="J51" s="766">
        <f>G51*I51</f>
        <v>0</v>
      </c>
      <c r="K51" s="759"/>
      <c r="L51" s="759"/>
    </row>
    <row r="52" spans="1:12" ht="51" customHeight="1" outlineLevel="1">
      <c r="A52" s="716"/>
      <c r="B52" s="696" t="s">
        <v>364</v>
      </c>
      <c r="C52" s="1656" t="s">
        <v>603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759"/>
      <c r="L52" s="759"/>
    </row>
    <row r="53" spans="1:12" ht="30" customHeight="1" outlineLevel="1">
      <c r="A53" s="716"/>
      <c r="B53" s="696" t="s">
        <v>366</v>
      </c>
      <c r="C53" s="1656" t="s">
        <v>604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759"/>
      <c r="L53" s="759"/>
    </row>
    <row r="54" spans="1:12" ht="30" customHeight="1" outlineLevel="1">
      <c r="A54" s="716"/>
      <c r="B54" s="696" t="s">
        <v>368</v>
      </c>
      <c r="C54" s="1574" t="s">
        <v>605</v>
      </c>
      <c r="D54" s="1575"/>
      <c r="E54" s="1575"/>
      <c r="F54" s="763" t="s">
        <v>370</v>
      </c>
      <c r="G54" s="764">
        <v>0</v>
      </c>
      <c r="H54" s="763" t="s">
        <v>371</v>
      </c>
      <c r="I54" s="765">
        <f>I35</f>
        <v>22.701000000000001</v>
      </c>
      <c r="J54" s="766">
        <f t="shared" ref="J54:J55" si="1">G54*I54</f>
        <v>0</v>
      </c>
      <c r="K54" s="759"/>
      <c r="L54" s="759"/>
    </row>
    <row r="55" spans="1:12" ht="30" customHeight="1" outlineLevel="1">
      <c r="A55" s="716"/>
      <c r="B55" s="696" t="s">
        <v>372</v>
      </c>
      <c r="C55" s="1574" t="s">
        <v>606</v>
      </c>
      <c r="D55" s="1575"/>
      <c r="E55" s="1575"/>
      <c r="F55" s="763" t="s">
        <v>374</v>
      </c>
      <c r="G55" s="764">
        <v>0</v>
      </c>
      <c r="H55" s="763" t="s">
        <v>375</v>
      </c>
      <c r="I55" s="765">
        <f>I37</f>
        <v>30.268000000000001</v>
      </c>
      <c r="J55" s="767">
        <f t="shared" si="1"/>
        <v>0</v>
      </c>
      <c r="K55" s="759"/>
      <c r="L55" s="759"/>
    </row>
    <row r="56" spans="1:12" ht="43.5" customHeight="1">
      <c r="A56" s="716"/>
      <c r="B56" s="696" t="s">
        <v>376</v>
      </c>
      <c r="C56" s="1576" t="s">
        <v>607</v>
      </c>
      <c r="D56" s="1419"/>
      <c r="E56" s="1419"/>
      <c r="F56" s="763" t="s">
        <v>378</v>
      </c>
      <c r="G56" s="768">
        <f>(G54+G55)*0.2</f>
        <v>0</v>
      </c>
      <c r="H56" s="763"/>
      <c r="I56" s="765"/>
      <c r="J56" s="758">
        <f>ROUND(SUM(J54:J55)*0.2,2)</f>
        <v>0</v>
      </c>
      <c r="K56" s="759"/>
      <c r="L56" s="759"/>
    </row>
    <row r="57" spans="1:12" ht="31.5" customHeight="1">
      <c r="A57" s="716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770"/>
      <c r="L57" s="770"/>
    </row>
    <row r="58" spans="1:12" ht="32.25" customHeight="1">
      <c r="A58" s="716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1512.7350000000001</v>
      </c>
      <c r="K58" s="772"/>
      <c r="L58" s="772"/>
    </row>
    <row r="59" spans="1:12" ht="9.75" customHeight="1">
      <c r="A59" s="716"/>
      <c r="B59" s="773"/>
      <c r="C59" s="1657"/>
      <c r="D59" s="1477"/>
      <c r="E59" s="1477"/>
      <c r="F59" s="1477"/>
      <c r="G59" s="1477"/>
      <c r="H59" s="1477"/>
      <c r="I59" s="1478"/>
      <c r="J59" s="774"/>
      <c r="K59" s="772"/>
      <c r="L59" s="772"/>
    </row>
    <row r="60" spans="1:12" ht="29.25" customHeight="1">
      <c r="A60" s="716"/>
      <c r="B60" s="696" t="s">
        <v>368</v>
      </c>
      <c r="C60" s="1577" t="s">
        <v>608</v>
      </c>
      <c r="D60" s="1477"/>
      <c r="E60" s="1477"/>
      <c r="F60" s="1477"/>
      <c r="G60" s="1477"/>
      <c r="H60" s="1477"/>
      <c r="I60" s="1478"/>
      <c r="J60" s="758">
        <f>ROUND(I34*15*I40*0.5,2)*0</f>
        <v>0</v>
      </c>
      <c r="K60" s="759"/>
      <c r="L60" s="759"/>
    </row>
    <row r="61" spans="1:12" ht="31.5" customHeight="1">
      <c r="A61" s="716"/>
      <c r="B61" s="1572" t="s">
        <v>609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772"/>
      <c r="L61" s="772"/>
    </row>
    <row r="62" spans="1:12" ht="11.25" customHeight="1">
      <c r="A62" s="716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  <c r="L62" s="697"/>
    </row>
    <row r="63" spans="1:12" ht="57.75" customHeight="1">
      <c r="A63" s="716"/>
      <c r="B63" s="1578" t="s">
        <v>610</v>
      </c>
      <c r="C63" s="1477"/>
      <c r="D63" s="1477"/>
      <c r="E63" s="1477"/>
      <c r="F63" s="1477"/>
      <c r="G63" s="1477"/>
      <c r="H63" s="1477"/>
      <c r="I63" s="1478"/>
      <c r="J63" s="775">
        <f>J58+J61</f>
        <v>1512.7350000000001</v>
      </c>
      <c r="K63" s="776"/>
      <c r="L63" s="776"/>
    </row>
    <row r="64" spans="1:12" ht="9" customHeight="1">
      <c r="A64" s="716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  <c r="L64" s="777"/>
    </row>
    <row r="65" spans="1:12" ht="19.5" customHeight="1">
      <c r="A65" s="716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  <c r="L65" s="778"/>
    </row>
    <row r="66" spans="1:12" ht="8.25" customHeight="1">
      <c r="A66" s="716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  <c r="L66" s="777"/>
    </row>
    <row r="67" spans="1:12" ht="27" customHeight="1">
      <c r="A67" s="716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779"/>
      <c r="L67" s="779"/>
    </row>
    <row r="68" spans="1:12" ht="27" customHeight="1">
      <c r="A68" s="716"/>
      <c r="B68" s="1580" t="s">
        <v>611</v>
      </c>
      <c r="C68" s="1477"/>
      <c r="D68" s="1477"/>
      <c r="E68" s="1477"/>
      <c r="F68" s="1477"/>
      <c r="G68" s="1477"/>
      <c r="H68" s="1477"/>
      <c r="I68" s="1477"/>
      <c r="J68" s="1478"/>
      <c r="K68" s="780"/>
      <c r="L68" s="780"/>
    </row>
    <row r="69" spans="1:12" ht="22.5" customHeight="1">
      <c r="A69" s="716"/>
      <c r="B69" s="781" t="s">
        <v>388</v>
      </c>
      <c r="C69" s="1659" t="s">
        <v>612</v>
      </c>
      <c r="D69" s="1477"/>
      <c r="E69" s="1477"/>
      <c r="F69" s="1477"/>
      <c r="G69" s="1477"/>
      <c r="H69" s="1477"/>
      <c r="I69" s="1478"/>
      <c r="J69" s="996" t="s">
        <v>390</v>
      </c>
      <c r="K69" s="783"/>
      <c r="L69" s="783"/>
    </row>
    <row r="70" spans="1:12" ht="28.5" customHeight="1">
      <c r="A70" s="716"/>
      <c r="B70" s="781" t="s">
        <v>312</v>
      </c>
      <c r="C70" s="1656" t="s">
        <v>613</v>
      </c>
      <c r="D70" s="1477"/>
      <c r="E70" s="1477"/>
      <c r="F70" s="1477"/>
      <c r="G70" s="1477"/>
      <c r="H70" s="1478"/>
      <c r="I70" s="784">
        <v>8.3299999999999999E-2</v>
      </c>
      <c r="J70" s="824">
        <f>ROUND(J58*I70,2)</f>
        <v>126.01</v>
      </c>
      <c r="K70" s="786"/>
      <c r="L70" s="786"/>
    </row>
    <row r="71" spans="1:12" ht="64.5" customHeight="1">
      <c r="A71" s="716"/>
      <c r="B71" s="781" t="s">
        <v>314</v>
      </c>
      <c r="C71" s="1582" t="s">
        <v>614</v>
      </c>
      <c r="D71" s="1477"/>
      <c r="E71" s="1477"/>
      <c r="F71" s="1477"/>
      <c r="G71" s="1477"/>
      <c r="H71" s="1478"/>
      <c r="I71" s="787">
        <v>3.0249999999999999E-2</v>
      </c>
      <c r="J71" s="824">
        <f>ROUND(J58*I71,2)</f>
        <v>45.76</v>
      </c>
      <c r="K71" s="786"/>
      <c r="L71" s="786"/>
    </row>
    <row r="72" spans="1:12" ht="15" customHeight="1">
      <c r="A72" s="716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171.77</v>
      </c>
      <c r="K72" s="789"/>
      <c r="L72" s="789"/>
    </row>
    <row r="73" spans="1:12" ht="7.5" customHeight="1">
      <c r="A73" s="716"/>
      <c r="B73" s="1661"/>
      <c r="C73" s="1477"/>
      <c r="D73" s="1477"/>
      <c r="E73" s="1477"/>
      <c r="F73" s="1477"/>
      <c r="G73" s="1477"/>
      <c r="H73" s="1477"/>
      <c r="I73" s="1477"/>
      <c r="J73" s="1478"/>
      <c r="K73" s="790"/>
      <c r="L73" s="790"/>
    </row>
    <row r="74" spans="1:12" ht="14.5">
      <c r="A74" s="716"/>
      <c r="B74" s="1653" t="s">
        <v>615</v>
      </c>
      <c r="C74" s="1477"/>
      <c r="D74" s="1477"/>
      <c r="E74" s="1477"/>
      <c r="F74" s="1477"/>
      <c r="G74" s="1477"/>
      <c r="H74" s="1477"/>
      <c r="I74" s="1477"/>
      <c r="J74" s="1478"/>
      <c r="K74" s="750"/>
      <c r="L74" s="750"/>
    </row>
    <row r="75" spans="1:12" ht="7.5" customHeight="1">
      <c r="A75" s="716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  <c r="L75" s="750"/>
    </row>
    <row r="76" spans="1:12" ht="32.25" customHeight="1">
      <c r="A76" s="716"/>
      <c r="B76" s="1663" t="s">
        <v>616</v>
      </c>
      <c r="C76" s="1477"/>
      <c r="D76" s="1477"/>
      <c r="E76" s="1477"/>
      <c r="F76" s="1477"/>
      <c r="G76" s="1477"/>
      <c r="H76" s="1477"/>
      <c r="I76" s="1477"/>
      <c r="J76" s="1478"/>
      <c r="K76" s="780"/>
      <c r="L76" s="780"/>
    </row>
    <row r="77" spans="1:12" ht="27" customHeight="1">
      <c r="A77" s="716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997" t="s">
        <v>398</v>
      </c>
      <c r="K77" s="783"/>
      <c r="L77" s="783"/>
    </row>
    <row r="78" spans="1:12" ht="18.75" customHeight="1">
      <c r="A78" s="716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336.9</v>
      </c>
      <c r="K78" s="789"/>
      <c r="L78" s="789"/>
    </row>
    <row r="79" spans="1:12" ht="18.75" customHeight="1">
      <c r="A79" s="716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42.11</v>
      </c>
      <c r="K79" s="789"/>
      <c r="L79" s="789"/>
    </row>
    <row r="80" spans="1:12" ht="55.5" customHeight="1">
      <c r="A80" s="716"/>
      <c r="B80" s="794" t="s">
        <v>316</v>
      </c>
      <c r="C80" s="1577" t="s">
        <v>617</v>
      </c>
      <c r="D80" s="1478"/>
      <c r="E80" s="735" t="s">
        <v>402</v>
      </c>
      <c r="F80" s="797">
        <f>'1-ABA-DE-CARREGAMENTO'!D57</f>
        <v>0.03</v>
      </c>
      <c r="G80" s="735" t="s">
        <v>403</v>
      </c>
      <c r="H80" s="798">
        <f>'1-ABA-DE-CARREGAMENTO'!D58</f>
        <v>1</v>
      </c>
      <c r="I80" s="799">
        <f>ROUND((F80*H80),6)</f>
        <v>0.03</v>
      </c>
      <c r="J80" s="796">
        <f>ROUND((J58+J72)*I80,2)</f>
        <v>50.54</v>
      </c>
      <c r="K80" s="789"/>
      <c r="L80" s="789"/>
    </row>
    <row r="81" spans="1:12" ht="15.75" customHeight="1">
      <c r="A81" s="716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25.27</v>
      </c>
      <c r="K81" s="789"/>
      <c r="L81" s="789"/>
    </row>
    <row r="82" spans="1:12" ht="15.75" customHeight="1">
      <c r="A82" s="716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16.850000000000001</v>
      </c>
      <c r="K82" s="789"/>
      <c r="L82" s="789"/>
    </row>
    <row r="83" spans="1:12" ht="15.75" customHeight="1">
      <c r="A83" s="716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10.11</v>
      </c>
      <c r="K83" s="789"/>
      <c r="L83" s="789"/>
    </row>
    <row r="84" spans="1:12" ht="15.75" customHeight="1">
      <c r="A84" s="716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3.37</v>
      </c>
      <c r="K84" s="789"/>
      <c r="L84" s="789"/>
    </row>
    <row r="85" spans="1:12" ht="15.75" customHeight="1">
      <c r="A85" s="716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134.76</v>
      </c>
      <c r="K85" s="789"/>
      <c r="L85" s="789"/>
    </row>
    <row r="86" spans="1:12" ht="15.75" customHeight="1">
      <c r="A86" s="716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2">SUM(I78:I85)</f>
        <v>0.36800000000000005</v>
      </c>
      <c r="J86" s="788">
        <f t="shared" si="2"/>
        <v>619.91000000000008</v>
      </c>
      <c r="K86" s="789"/>
      <c r="L86" s="789"/>
    </row>
    <row r="87" spans="1:12" ht="8.25" customHeight="1">
      <c r="A87" s="716"/>
      <c r="B87" s="801"/>
      <c r="C87" s="802"/>
      <c r="D87" s="802"/>
      <c r="E87" s="802"/>
      <c r="F87" s="802"/>
      <c r="G87" s="802"/>
      <c r="H87" s="802"/>
      <c r="I87" s="803"/>
      <c r="J87" s="804"/>
      <c r="K87" s="789"/>
      <c r="L87" s="789"/>
    </row>
    <row r="88" spans="1:12" ht="35.25" customHeight="1">
      <c r="A88" s="716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  <c r="L88" s="750"/>
    </row>
    <row r="89" spans="1:12" ht="9.75" customHeight="1">
      <c r="A89" s="716"/>
      <c r="B89" s="1618"/>
      <c r="C89" s="1477"/>
      <c r="D89" s="1477"/>
      <c r="E89" s="1477"/>
      <c r="F89" s="1477"/>
      <c r="G89" s="1477"/>
      <c r="H89" s="1477"/>
      <c r="I89" s="1477"/>
      <c r="J89" s="1478"/>
      <c r="K89" s="697"/>
      <c r="L89" s="697"/>
    </row>
    <row r="90" spans="1:12" ht="20.25" customHeight="1">
      <c r="A90" s="716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780"/>
      <c r="L90" s="780"/>
    </row>
    <row r="91" spans="1:12" ht="27" customHeight="1">
      <c r="A91" s="716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06" t="s">
        <v>390</v>
      </c>
      <c r="K91" s="727"/>
      <c r="L91" s="727"/>
    </row>
    <row r="92" spans="1:12" ht="23.25" customHeight="1">
      <c r="A92" s="716"/>
      <c r="B92" s="743" t="s">
        <v>312</v>
      </c>
      <c r="C92" s="1577" t="e">
        <f ca="1">IF(F95="o transporte é seletivo", "AUXILIO TRANSPORTE Cálculo do valor: [(n passag dia × vlr passagem × n dias mês ) – (0,06xSB)]", "Transporte Cálculo do valor: [(n passag dia × vlr VT × n dias mês ) – (0,06xSB)]")</f>
        <v>#NAME?</v>
      </c>
      <c r="D92" s="1477"/>
      <c r="E92" s="1477"/>
      <c r="F92" s="1477"/>
      <c r="G92" s="1477"/>
      <c r="H92" s="1478"/>
      <c r="I92" s="807">
        <f>J47</f>
        <v>1080.5250000000001</v>
      </c>
      <c r="J92" s="808">
        <f>IF(ROUND((I93*I95*I94)-(J47*I96),2)&lt;0,0,ROUND((I93*I95*I94)-(J47*I96),2))</f>
        <v>214.79</v>
      </c>
      <c r="K92" s="789"/>
      <c r="L92" s="789"/>
    </row>
    <row r="93" spans="1:12" ht="31.5" customHeight="1">
      <c r="A93" s="716"/>
      <c r="B93" s="743" t="s">
        <v>314</v>
      </c>
      <c r="C93" s="1577" t="s">
        <v>618</v>
      </c>
      <c r="D93" s="1477"/>
      <c r="E93" s="1477"/>
      <c r="F93" s="1477"/>
      <c r="G93" s="1477"/>
      <c r="H93" s="1477"/>
      <c r="I93" s="809">
        <f>'1-ABA-DE-CARREGAMENTO'!D72</f>
        <v>6.82</v>
      </c>
      <c r="J93" s="810" t="s">
        <v>325</v>
      </c>
      <c r="K93" s="770"/>
      <c r="L93" s="770"/>
    </row>
    <row r="94" spans="1:12" ht="23.25" customHeight="1">
      <c r="A94" s="716"/>
      <c r="B94" s="743" t="s">
        <v>316</v>
      </c>
      <c r="C94" s="1577" t="s">
        <v>619</v>
      </c>
      <c r="D94" s="1477"/>
      <c r="E94" s="1477"/>
      <c r="F94" s="1477"/>
      <c r="G94" s="1477"/>
      <c r="H94" s="1478"/>
      <c r="I94" s="811">
        <f>'1-ABA-DE-CARREGAMENTO'!D73</f>
        <v>2</v>
      </c>
      <c r="J94" s="810" t="s">
        <v>325</v>
      </c>
      <c r="K94" s="770"/>
      <c r="L94" s="770"/>
    </row>
    <row r="95" spans="1:12" ht="23.25" customHeight="1">
      <c r="A95" s="716"/>
      <c r="B95" s="743" t="s">
        <v>318</v>
      </c>
      <c r="C95" s="1665" t="s">
        <v>415</v>
      </c>
      <c r="D95" s="1477"/>
      <c r="E95" s="1477"/>
      <c r="F95" s="1666" t="e">
        <f ca="1">getNota('1-ABA-DE-CARREGAMENTO'!C14)</f>
        <v>#NAME?</v>
      </c>
      <c r="G95" s="1477"/>
      <c r="H95" s="812">
        <f>I93*I94*I95</f>
        <v>279.62</v>
      </c>
      <c r="I95" s="813">
        <f>'1-ABA-DE-CARREGAMENTO'!D74</f>
        <v>20.5</v>
      </c>
      <c r="J95" s="810" t="s">
        <v>325</v>
      </c>
      <c r="K95" s="770"/>
      <c r="L95" s="770"/>
    </row>
    <row r="96" spans="1:12" ht="23.25" customHeight="1">
      <c r="A96" s="716"/>
      <c r="B96" s="743" t="s">
        <v>360</v>
      </c>
      <c r="C96" s="1665" t="s">
        <v>620</v>
      </c>
      <c r="D96" s="1477"/>
      <c r="E96" s="1477"/>
      <c r="F96" s="1477"/>
      <c r="G96" s="1477"/>
      <c r="H96" s="812">
        <f>I96*J47</f>
        <v>64.831500000000005</v>
      </c>
      <c r="I96" s="814">
        <f>'1-ABA-DE-CARREGAMENTO'!D75</f>
        <v>0.06</v>
      </c>
      <c r="J96" s="815" t="s">
        <v>325</v>
      </c>
      <c r="K96" s="770"/>
      <c r="L96" s="770"/>
    </row>
    <row r="97" spans="1:12" ht="23.25" customHeight="1">
      <c r="A97" s="716"/>
      <c r="B97" s="743" t="s">
        <v>364</v>
      </c>
      <c r="C97" s="1577" t="s">
        <v>621</v>
      </c>
      <c r="D97" s="1477"/>
      <c r="E97" s="1477"/>
      <c r="F97" s="1477"/>
      <c r="G97" s="1477"/>
      <c r="H97" s="1477"/>
      <c r="I97" s="1477"/>
      <c r="J97" s="808">
        <f>ROUND(I98*I99,2)-ROUND((I98*I99)*I100,2)</f>
        <v>225.32999999999998</v>
      </c>
      <c r="K97" s="789"/>
      <c r="L97" s="789"/>
    </row>
    <row r="98" spans="1:12" ht="23.25" customHeight="1">
      <c r="A98" s="716"/>
      <c r="B98" s="743" t="s">
        <v>366</v>
      </c>
      <c r="C98" s="1577" t="s">
        <v>622</v>
      </c>
      <c r="D98" s="1477"/>
      <c r="E98" s="1477"/>
      <c r="F98" s="1477"/>
      <c r="G98" s="1477"/>
      <c r="H98" s="1477"/>
      <c r="I98" s="816">
        <f>IF('1-ABA-DE-CARREGAMENTO'!D60&gt;0,'1-ABA-DE-CARREGAMENTO'!D60,'1-ABA-DE-CARREGAMENTO'!D63)</f>
        <v>13.57</v>
      </c>
      <c r="J98" s="817"/>
      <c r="K98" s="770"/>
      <c r="L98" s="770"/>
    </row>
    <row r="99" spans="1:12" ht="23.25" customHeight="1">
      <c r="A99" s="716"/>
      <c r="B99" s="743" t="s">
        <v>368</v>
      </c>
      <c r="C99" s="1665" t="s">
        <v>623</v>
      </c>
      <c r="D99" s="1477"/>
      <c r="E99" s="1477"/>
      <c r="F99" s="1477"/>
      <c r="G99" s="1477"/>
      <c r="H99" s="812">
        <f>I98*I99</f>
        <v>278.185</v>
      </c>
      <c r="I99" s="813">
        <f>'1-ABA-DE-CARREGAMENTO'!D62</f>
        <v>20.5</v>
      </c>
      <c r="J99" s="817"/>
      <c r="K99" s="770"/>
      <c r="L99" s="770"/>
    </row>
    <row r="100" spans="1:12" ht="23.25" customHeight="1">
      <c r="A100" s="716"/>
      <c r="B100" s="794" t="s">
        <v>372</v>
      </c>
      <c r="C100" s="1665" t="s">
        <v>624</v>
      </c>
      <c r="D100" s="1477"/>
      <c r="E100" s="1477"/>
      <c r="F100" s="1477"/>
      <c r="G100" s="1477"/>
      <c r="H100" s="812">
        <f>(I98*I99)*I100</f>
        <v>52.855150000000002</v>
      </c>
      <c r="I100" s="814">
        <f>'1-ABA-DE-CARREGAMENTO'!D61</f>
        <v>0.19</v>
      </c>
      <c r="J100" s="819"/>
      <c r="K100" s="770"/>
      <c r="L100" s="770"/>
    </row>
    <row r="101" spans="1:12" ht="33" customHeight="1" outlineLevel="1">
      <c r="A101" s="716"/>
      <c r="B101" s="743" t="s">
        <v>376</v>
      </c>
      <c r="C101" s="1628" t="s">
        <v>421</v>
      </c>
      <c r="D101" s="1575"/>
      <c r="E101" s="1575"/>
      <c r="F101" s="1575"/>
      <c r="G101" s="1575"/>
      <c r="H101" s="1575"/>
      <c r="I101" s="1575"/>
      <c r="J101" s="820">
        <f>'1-ABA-DE-CARREGAMENTO'!D64</f>
        <v>40</v>
      </c>
      <c r="K101" s="900"/>
      <c r="L101" s="900"/>
    </row>
    <row r="102" spans="1:12" ht="21.75" customHeight="1" outlineLevel="1">
      <c r="A102" s="716"/>
      <c r="B102" s="743" t="s">
        <v>379</v>
      </c>
      <c r="C102" s="1577" t="s">
        <v>625</v>
      </c>
      <c r="D102" s="1477"/>
      <c r="E102" s="1477"/>
      <c r="F102" s="1477"/>
      <c r="G102" s="1477"/>
      <c r="H102" s="1477"/>
      <c r="I102" s="1477"/>
      <c r="J102" s="796">
        <f>'1-ABA-DE-CARREGAMENTO'!D77</f>
        <v>0</v>
      </c>
      <c r="K102" s="900"/>
      <c r="L102" s="900"/>
    </row>
    <row r="103" spans="1:12" ht="21.75" customHeight="1" outlineLevel="1">
      <c r="A103" s="716"/>
      <c r="B103" s="743" t="s">
        <v>423</v>
      </c>
      <c r="C103" s="1577" t="s">
        <v>626</v>
      </c>
      <c r="D103" s="1477"/>
      <c r="E103" s="1477"/>
      <c r="F103" s="1477"/>
      <c r="G103" s="1477"/>
      <c r="H103" s="1477"/>
      <c r="I103" s="1478"/>
      <c r="J103" s="796">
        <f>'1-ABA-DE-CARREGAMENTO'!D78</f>
        <v>0</v>
      </c>
      <c r="K103" s="789"/>
      <c r="L103" s="789"/>
    </row>
    <row r="104" spans="1:12" ht="21.75" customHeight="1" outlineLevel="1">
      <c r="A104" s="716"/>
      <c r="B104" s="743" t="s">
        <v>425</v>
      </c>
      <c r="C104" s="1577" t="s">
        <v>426</v>
      </c>
      <c r="D104" s="1477"/>
      <c r="E104" s="1477"/>
      <c r="F104" s="1477"/>
      <c r="G104" s="1477"/>
      <c r="H104" s="1477"/>
      <c r="I104" s="1478"/>
      <c r="J104" s="796">
        <f>'1-ABA-DE-CARREGAMENTO'!D76</f>
        <v>25.52</v>
      </c>
      <c r="K104" s="789"/>
      <c r="L104" s="789"/>
    </row>
    <row r="105" spans="1:12" ht="16.5" outlineLevel="1">
      <c r="A105" s="716"/>
      <c r="B105" s="821" t="s">
        <v>53</v>
      </c>
      <c r="C105" s="1715" t="s">
        <v>427</v>
      </c>
      <c r="D105" s="1477"/>
      <c r="E105" s="1521"/>
      <c r="F105" s="1668" t="s">
        <v>428</v>
      </c>
      <c r="G105" s="1477"/>
      <c r="H105" s="1521"/>
      <c r="I105" s="998">
        <v>526.64</v>
      </c>
      <c r="J105" s="999">
        <f>I105*0.2*I17</f>
        <v>0</v>
      </c>
      <c r="K105" s="789"/>
      <c r="L105" s="789"/>
    </row>
    <row r="106" spans="1:12" ht="14.5">
      <c r="A106" s="716"/>
      <c r="B106" s="823"/>
      <c r="C106" s="1716" t="s">
        <v>429</v>
      </c>
      <c r="D106" s="1477"/>
      <c r="E106" s="1477"/>
      <c r="F106" s="1477"/>
      <c r="G106" s="1477"/>
      <c r="H106" s="1477"/>
      <c r="I106" s="1478"/>
      <c r="J106" s="1000">
        <f>SUM(J92:J105)</f>
        <v>505.64</v>
      </c>
      <c r="K106" s="789"/>
      <c r="L106" s="789"/>
    </row>
    <row r="107" spans="1:12" ht="9" customHeight="1">
      <c r="A107" s="716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697"/>
      <c r="L107" s="697"/>
    </row>
    <row r="108" spans="1:12" ht="32.25" customHeight="1">
      <c r="A108" s="716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  <c r="L108" s="750"/>
    </row>
    <row r="109" spans="1:12" ht="8.25" customHeight="1">
      <c r="A109" s="716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  <c r="L109" s="697"/>
    </row>
    <row r="110" spans="1:12" ht="17.25" customHeight="1">
      <c r="A110" s="716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  <c r="L110" s="779"/>
    </row>
    <row r="111" spans="1:12" ht="15.75" customHeight="1">
      <c r="A111" s="716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997" t="s">
        <v>390</v>
      </c>
      <c r="K111" s="783"/>
      <c r="L111" s="783"/>
    </row>
    <row r="112" spans="1:12" ht="21.75" customHeight="1">
      <c r="A112" s="716"/>
      <c r="B112" s="733" t="s">
        <v>388</v>
      </c>
      <c r="C112" s="1656" t="s">
        <v>627</v>
      </c>
      <c r="D112" s="1477"/>
      <c r="E112" s="1477"/>
      <c r="F112" s="1477"/>
      <c r="G112" s="1477"/>
      <c r="H112" s="1477"/>
      <c r="I112" s="1478"/>
      <c r="J112" s="824">
        <f>J72</f>
        <v>171.77</v>
      </c>
      <c r="K112" s="825"/>
      <c r="L112" s="825"/>
    </row>
    <row r="113" spans="1:12" ht="21.75" customHeight="1">
      <c r="A113" s="716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619.91000000000008</v>
      </c>
      <c r="K113" s="825"/>
      <c r="L113" s="825"/>
    </row>
    <row r="114" spans="1:12" ht="21.75" customHeight="1">
      <c r="A114" s="716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505.64</v>
      </c>
      <c r="K114" s="825"/>
      <c r="L114" s="825"/>
    </row>
    <row r="115" spans="1:12" ht="14.25" customHeight="1">
      <c r="A115" s="716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1297.3200000000002</v>
      </c>
      <c r="K115" s="825"/>
      <c r="L115" s="825"/>
    </row>
    <row r="116" spans="1:12" ht="12" customHeight="1">
      <c r="A116" s="716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  <c r="L116" s="827"/>
    </row>
    <row r="117" spans="1:12" ht="20.25" customHeight="1">
      <c r="A117" s="716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828"/>
      <c r="L117" s="828"/>
    </row>
    <row r="118" spans="1:12" ht="15" customHeight="1">
      <c r="A118" s="716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1001" t="s">
        <v>390</v>
      </c>
      <c r="K118" s="727"/>
      <c r="L118" s="727"/>
    </row>
    <row r="119" spans="1:12" ht="44.25" customHeight="1">
      <c r="A119" s="716"/>
      <c r="B119" s="743" t="s">
        <v>312</v>
      </c>
      <c r="C119" s="1577" t="s">
        <v>628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7.54</v>
      </c>
      <c r="K119" s="789"/>
      <c r="L119" s="789"/>
    </row>
    <row r="120" spans="1:12" ht="14.25" customHeight="1">
      <c r="A120" s="716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0.6</v>
      </c>
      <c r="K120" s="789"/>
      <c r="L120" s="789"/>
    </row>
    <row r="121" spans="1:12" ht="62.25" customHeight="1">
      <c r="A121" s="716"/>
      <c r="B121" s="743" t="s">
        <v>316</v>
      </c>
      <c r="C121" s="1672" t="s">
        <v>629</v>
      </c>
      <c r="D121" s="1477"/>
      <c r="E121" s="1477"/>
      <c r="F121" s="1477"/>
      <c r="G121" s="1477"/>
      <c r="H121" s="1477"/>
      <c r="I121" s="830" t="str">
        <f>IF(J121&lt;J58*1.94%,"OK","VERIFIQUE")</f>
        <v>OK</v>
      </c>
      <c r="J121" s="796">
        <f>ROUND(((7/30)/$I$11)*$J$58*1,2)</f>
        <v>11.77</v>
      </c>
      <c r="K121" s="789"/>
      <c r="L121" s="789"/>
    </row>
    <row r="122" spans="1:12" ht="23.25" customHeight="1">
      <c r="A122" s="716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4.33</v>
      </c>
      <c r="K122" s="789"/>
      <c r="L122" s="789"/>
    </row>
    <row r="123" spans="1:12" ht="37.5" customHeight="1">
      <c r="A123" s="716"/>
      <c r="B123" s="743" t="s">
        <v>360</v>
      </c>
      <c r="C123" s="1577" t="s">
        <v>630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60.51</v>
      </c>
      <c r="K123" s="789"/>
      <c r="L123" s="789"/>
    </row>
    <row r="124" spans="1:12" ht="15.75" customHeight="1">
      <c r="A124" s="716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84.75</v>
      </c>
      <c r="K124" s="789"/>
      <c r="L124" s="789"/>
    </row>
    <row r="125" spans="1:12" ht="9" customHeight="1">
      <c r="A125" s="716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777"/>
      <c r="L125" s="777"/>
    </row>
    <row r="126" spans="1:12" ht="24" customHeight="1">
      <c r="A126" s="716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  <c r="L126" s="828"/>
    </row>
    <row r="127" spans="1:12" ht="26.25" customHeight="1">
      <c r="A127" s="716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  <c r="L127" s="750"/>
    </row>
    <row r="128" spans="1:12" ht="55.5" customHeight="1">
      <c r="A128" s="716"/>
      <c r="B128" s="1663" t="s">
        <v>631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  <c r="L128" s="780"/>
    </row>
    <row r="129" spans="1:12" ht="36.75" customHeight="1">
      <c r="A129" s="716"/>
      <c r="B129" s="832" t="s">
        <v>445</v>
      </c>
      <c r="C129" s="833">
        <f>J58</f>
        <v>1512.7350000000001</v>
      </c>
      <c r="D129" s="834" t="s">
        <v>446</v>
      </c>
      <c r="E129" s="1002" t="s">
        <v>632</v>
      </c>
      <c r="F129" s="1003">
        <f>J115-J92-J97-J105</f>
        <v>857.20000000000027</v>
      </c>
      <c r="G129" s="834" t="s">
        <v>446</v>
      </c>
      <c r="H129" s="832" t="s">
        <v>448</v>
      </c>
      <c r="I129" s="833">
        <f>J124</f>
        <v>84.75</v>
      </c>
      <c r="J129" s="835">
        <f>C129+F129+I129</f>
        <v>2454.6850000000004</v>
      </c>
      <c r="K129" s="836"/>
      <c r="L129" s="836"/>
    </row>
    <row r="130" spans="1:12" ht="7.5" customHeight="1">
      <c r="A130" s="716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  <c r="L130" s="837"/>
    </row>
    <row r="131" spans="1:12" ht="25.5" customHeight="1">
      <c r="A131" s="716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  <c r="L131" s="838"/>
    </row>
    <row r="132" spans="1:12" ht="24" customHeight="1">
      <c r="A132" s="716"/>
      <c r="B132" s="805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01" t="s">
        <v>390</v>
      </c>
      <c r="K132" s="727"/>
      <c r="L132" s="727"/>
    </row>
    <row r="133" spans="1:12" ht="44.25" customHeight="1">
      <c r="A133" s="716"/>
      <c r="B133" s="743" t="s">
        <v>312</v>
      </c>
      <c r="C133" s="1656" t="s">
        <v>633</v>
      </c>
      <c r="D133" s="1477"/>
      <c r="E133" s="1477"/>
      <c r="F133" s="1477"/>
      <c r="G133" s="1477"/>
      <c r="H133" s="840">
        <v>9.0749999999999997E-2</v>
      </c>
      <c r="I133" s="1004">
        <f>I86</f>
        <v>0.36800000000000005</v>
      </c>
      <c r="J133" s="1005">
        <f>IF('1-ABA-DE-CARREGAMENTO'!D81="S",(ROUND(H133*J58,2)*(1+I133)),IF('1-ABA-DE-CARREGAMENTO'!D81="N",0,"INFORME S ou N"))</f>
        <v>0</v>
      </c>
      <c r="K133" s="789"/>
      <c r="L133" s="789"/>
    </row>
    <row r="134" spans="1:12" ht="21" customHeight="1">
      <c r="A134" s="716"/>
      <c r="B134" s="743" t="s">
        <v>314</v>
      </c>
      <c r="C134" s="1577" t="s">
        <v>634</v>
      </c>
      <c r="D134" s="1477"/>
      <c r="E134" s="1477"/>
      <c r="F134" s="1477"/>
      <c r="G134" s="1477"/>
      <c r="H134" s="1477"/>
      <c r="I134" s="1478"/>
      <c r="J134" s="796">
        <f>ROUND((1/30)/12*(J129),2)</f>
        <v>6.82</v>
      </c>
      <c r="K134" s="789"/>
      <c r="L134" s="789"/>
    </row>
    <row r="135" spans="1:12" ht="30.75" customHeight="1">
      <c r="A135" s="716"/>
      <c r="B135" s="743" t="s">
        <v>316</v>
      </c>
      <c r="C135" s="1577" t="s">
        <v>635</v>
      </c>
      <c r="D135" s="1477"/>
      <c r="E135" s="1477"/>
      <c r="F135" s="1477"/>
      <c r="G135" s="1477"/>
      <c r="H135" s="1477"/>
      <c r="I135" s="1478"/>
      <c r="J135" s="796">
        <f>ROUND((5/30)/12*0.015*(J129),2)</f>
        <v>0.51</v>
      </c>
      <c r="K135" s="789"/>
      <c r="L135" s="789"/>
    </row>
    <row r="136" spans="1:12" ht="24" customHeight="1">
      <c r="A136" s="716"/>
      <c r="B136" s="743" t="s">
        <v>318</v>
      </c>
      <c r="C136" s="1577" t="s">
        <v>636</v>
      </c>
      <c r="D136" s="1477"/>
      <c r="E136" s="1477"/>
      <c r="F136" s="1477"/>
      <c r="G136" s="1477"/>
      <c r="H136" s="1477"/>
      <c r="I136" s="1478"/>
      <c r="J136" s="796">
        <f>ROUND(((15/30)/12)*0.0078*(J129),2)</f>
        <v>0.8</v>
      </c>
      <c r="K136" s="789"/>
      <c r="L136" s="789"/>
    </row>
    <row r="137" spans="1:12" ht="35.25" customHeight="1">
      <c r="A137" s="716"/>
      <c r="B137" s="843" t="s">
        <v>360</v>
      </c>
      <c r="C137" s="1676" t="s">
        <v>637</v>
      </c>
      <c r="D137" s="1477"/>
      <c r="E137" s="1477"/>
      <c r="F137" s="1477"/>
      <c r="G137" s="1477"/>
      <c r="H137" s="1477"/>
      <c r="I137" s="1478"/>
      <c r="J137" s="844">
        <f>ROUND(((((C129+C129/3)+(I86)*(C129+C129/3))*(4/12))/12)*0.02,2) + ((J106-J92-J97-J105+J124)*4/12)*0.02</f>
        <v>2.5318000000000005</v>
      </c>
      <c r="K137" s="1006"/>
      <c r="L137" s="1006"/>
    </row>
    <row r="138" spans="1:12" ht="61.5" customHeight="1">
      <c r="A138" s="716"/>
      <c r="B138" s="743" t="s">
        <v>364</v>
      </c>
      <c r="C138" s="1577" t="s">
        <v>638</v>
      </c>
      <c r="D138" s="1477"/>
      <c r="E138" s="1477"/>
      <c r="F138" s="1477"/>
      <c r="G138" s="1477"/>
      <c r="H138" s="1477"/>
      <c r="I138" s="1478"/>
      <c r="J138" s="796">
        <f>ROUND(((3/30)/12)*(J129),2)</f>
        <v>20.46</v>
      </c>
      <c r="K138" s="789"/>
      <c r="L138" s="789"/>
    </row>
    <row r="139" spans="1:12" ht="15.75" customHeight="1">
      <c r="A139" s="716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31.1218</v>
      </c>
      <c r="K139" s="789"/>
      <c r="L139" s="789"/>
    </row>
    <row r="140" spans="1:12" ht="9" customHeight="1">
      <c r="A140" s="716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777"/>
      <c r="L140" s="777"/>
    </row>
    <row r="141" spans="1:12" ht="15.75" customHeight="1">
      <c r="A141" s="716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780"/>
      <c r="L141" s="780"/>
    </row>
    <row r="142" spans="1:12" ht="15.75" customHeight="1">
      <c r="A142" s="716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848"/>
      <c r="L142" s="848"/>
    </row>
    <row r="143" spans="1:12" ht="15.75" customHeight="1">
      <c r="A143" s="716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825"/>
      <c r="L143" s="825"/>
    </row>
    <row r="144" spans="1:12" ht="15.75" customHeight="1">
      <c r="A144" s="716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825"/>
      <c r="L144" s="825"/>
    </row>
    <row r="145" spans="1:12" ht="7.5" customHeight="1">
      <c r="A145" s="716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852"/>
      <c r="L145" s="852"/>
    </row>
    <row r="146" spans="1:12" ht="23.25" customHeight="1">
      <c r="A146" s="716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779"/>
      <c r="L146" s="779"/>
    </row>
    <row r="147" spans="1:12" ht="23.25" customHeight="1">
      <c r="A147" s="716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848"/>
      <c r="L147" s="848"/>
    </row>
    <row r="148" spans="1:12" ht="18.75" customHeight="1">
      <c r="A148" s="716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31.1218</v>
      </c>
      <c r="K148" s="825"/>
      <c r="L148" s="825"/>
    </row>
    <row r="149" spans="1:12" ht="21.75" customHeight="1">
      <c r="A149" s="716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825"/>
      <c r="L149" s="825"/>
    </row>
    <row r="150" spans="1:12" ht="23.25" customHeight="1">
      <c r="A150" s="716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31.1218</v>
      </c>
      <c r="K150" s="825"/>
      <c r="L150" s="825"/>
    </row>
    <row r="151" spans="1:12" ht="7.5" customHeight="1">
      <c r="A151" s="716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852"/>
      <c r="L151" s="852"/>
    </row>
    <row r="152" spans="1:12" ht="27.75" customHeight="1">
      <c r="A152" s="716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  <c r="L152" s="828"/>
    </row>
    <row r="153" spans="1:12" ht="27" customHeight="1">
      <c r="A153" s="716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1001" t="s">
        <v>390</v>
      </c>
      <c r="K153" s="727"/>
      <c r="L153" s="727"/>
    </row>
    <row r="154" spans="1:12" ht="18.75" customHeight="1">
      <c r="A154" s="716"/>
      <c r="B154" s="743" t="s">
        <v>312</v>
      </c>
      <c r="C154" s="1577" t="s">
        <v>296</v>
      </c>
      <c r="D154" s="1477"/>
      <c r="E154" s="1477"/>
      <c r="F154" s="1477"/>
      <c r="G154" s="1477"/>
      <c r="H154" s="1477"/>
      <c r="I154" s="1478"/>
      <c r="J154" s="853">
        <f>'Uniformes - EPIs_TODOS'!I9</f>
        <v>1.7210000000000001</v>
      </c>
      <c r="K154" s="789"/>
      <c r="L154" s="789"/>
    </row>
    <row r="155" spans="1:12" ht="18.75" customHeight="1">
      <c r="A155" s="716"/>
      <c r="B155" s="743" t="s">
        <v>314</v>
      </c>
      <c r="C155" s="1577" t="s">
        <v>639</v>
      </c>
      <c r="D155" s="1477"/>
      <c r="E155" s="1477"/>
      <c r="F155" s="1477"/>
      <c r="G155" s="1477"/>
      <c r="H155" s="1477"/>
      <c r="I155" s="1478"/>
      <c r="J155" s="854">
        <v>0</v>
      </c>
      <c r="K155" s="789"/>
      <c r="L155" s="789"/>
    </row>
    <row r="156" spans="1:12" ht="18.75" customHeight="1">
      <c r="A156" s="716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1007" t="s">
        <v>640</v>
      </c>
      <c r="K156" s="856"/>
      <c r="L156" s="856"/>
    </row>
    <row r="157" spans="1:12" ht="17.25" customHeight="1">
      <c r="A157" s="716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1.72</v>
      </c>
      <c r="K157" s="789"/>
      <c r="L157" s="789"/>
    </row>
    <row r="158" spans="1:12" ht="7.5" customHeight="1">
      <c r="A158" s="716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858"/>
      <c r="L158" s="858"/>
    </row>
    <row r="159" spans="1:12" ht="15.75" customHeight="1">
      <c r="A159" s="716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30"/>
      <c r="L159" s="730"/>
    </row>
    <row r="160" spans="1:12" ht="6.75" customHeight="1">
      <c r="A160" s="716"/>
      <c r="B160" s="859"/>
      <c r="C160" s="860"/>
      <c r="D160" s="860"/>
      <c r="E160" s="860"/>
      <c r="F160" s="860"/>
      <c r="G160" s="860"/>
      <c r="H160" s="860"/>
      <c r="I160" s="860"/>
      <c r="J160" s="1008"/>
      <c r="K160" s="862"/>
      <c r="L160" s="862"/>
    </row>
    <row r="161" spans="1:12" ht="16.5" customHeight="1">
      <c r="A161" s="716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828"/>
      <c r="L161" s="828"/>
    </row>
    <row r="162" spans="1:12" ht="30" customHeight="1">
      <c r="A162" s="716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  <c r="L162" s="865"/>
    </row>
    <row r="163" spans="1:12" ht="53.25" customHeight="1">
      <c r="A163" s="716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1009">
        <f>SUM(J63+J115+J124+J150+J157)</f>
        <v>2927.6468</v>
      </c>
      <c r="K163" s="749"/>
      <c r="L163" s="749"/>
    </row>
    <row r="164" spans="1:12" ht="15" customHeight="1">
      <c r="A164" s="716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'1-ABA-DE-CARREGAMENTO'!D85</f>
        <v>0.06</v>
      </c>
      <c r="J164" s="1010">
        <f>ROUND(I164*(J163),2)</f>
        <v>175.66</v>
      </c>
      <c r="K164" s="789"/>
      <c r="L164" s="789"/>
    </row>
    <row r="165" spans="1:12" ht="50.25" customHeight="1">
      <c r="A165" s="716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1009">
        <f>SUM(J63+J115+J124+J150+J157+J164)</f>
        <v>3103.3067999999998</v>
      </c>
      <c r="K165" s="749"/>
      <c r="L165" s="749"/>
    </row>
    <row r="166" spans="1:12" ht="15" customHeight="1">
      <c r="A166" s="716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'1-ABA-DE-CARREGAMENTO'!D86</f>
        <v>0.06</v>
      </c>
      <c r="J166" s="1010">
        <f>ROUND(I166*J165,2)</f>
        <v>186.2</v>
      </c>
      <c r="K166" s="789"/>
      <c r="L166" s="789"/>
    </row>
    <row r="167" spans="1:12" ht="48.75" customHeight="1">
      <c r="A167" s="716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1009">
        <f>SUM(J163+J164+J166)</f>
        <v>3289.5067999999997</v>
      </c>
      <c r="K167" s="749"/>
      <c r="L167" s="749"/>
    </row>
    <row r="168" spans="1:12" ht="16.5" customHeight="1">
      <c r="A168" s="716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1011" t="s">
        <v>325</v>
      </c>
      <c r="K168" s="770"/>
      <c r="L168" s="770"/>
    </row>
    <row r="169" spans="1:12" ht="14.25" customHeight="1">
      <c r="A169" s="716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1011" t="s">
        <v>325</v>
      </c>
      <c r="K169" s="770"/>
      <c r="L169" s="770"/>
    </row>
    <row r="170" spans="1:12" ht="22.5" customHeight="1">
      <c r="A170" s="716"/>
      <c r="B170" s="743"/>
      <c r="C170" s="1590" t="s">
        <v>641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010">
        <f t="shared" ref="J170:J171" si="3">ROUND(($J$167/(1-$I$179))*I170,2)</f>
        <v>61.16</v>
      </c>
      <c r="K170" s="759"/>
      <c r="L170" s="759"/>
    </row>
    <row r="171" spans="1:12" ht="22.5" customHeight="1">
      <c r="A171" s="716"/>
      <c r="B171" s="743"/>
      <c r="C171" s="1590" t="s">
        <v>642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010">
        <f t="shared" si="3"/>
        <v>281.69</v>
      </c>
      <c r="K171" s="759"/>
      <c r="L171" s="759"/>
    </row>
    <row r="172" spans="1:12" ht="29.25" customHeight="1">
      <c r="A172" s="716"/>
      <c r="B172" s="743"/>
      <c r="C172" s="1577" t="s">
        <v>643</v>
      </c>
      <c r="D172" s="1477"/>
      <c r="E172" s="1477"/>
      <c r="F172" s="1477"/>
      <c r="G172" s="1477"/>
      <c r="H172" s="1478"/>
      <c r="I172" s="872" t="s">
        <v>325</v>
      </c>
      <c r="J172" s="1011" t="s">
        <v>325</v>
      </c>
      <c r="K172" s="770"/>
      <c r="L172" s="770"/>
    </row>
    <row r="173" spans="1:12" ht="29.25" customHeight="1">
      <c r="A173" s="716"/>
      <c r="B173" s="743"/>
      <c r="C173" s="1577" t="s">
        <v>644</v>
      </c>
      <c r="D173" s="1477"/>
      <c r="E173" s="1477"/>
      <c r="F173" s="1477"/>
      <c r="G173" s="1477"/>
      <c r="H173" s="1478"/>
      <c r="I173" s="872" t="s">
        <v>325</v>
      </c>
      <c r="J173" s="1011" t="s">
        <v>325</v>
      </c>
      <c r="K173" s="770"/>
      <c r="L173" s="770"/>
    </row>
    <row r="174" spans="1:12" ht="18" customHeight="1">
      <c r="A174" s="716"/>
      <c r="B174" s="743"/>
      <c r="C174" s="1577" t="s">
        <v>483</v>
      </c>
      <c r="D174" s="1477"/>
      <c r="E174" s="1477"/>
      <c r="F174" s="1477"/>
      <c r="G174" s="1477"/>
      <c r="H174" s="1477"/>
      <c r="I174" s="872" t="s">
        <v>325</v>
      </c>
      <c r="J174" s="1011" t="s">
        <v>325</v>
      </c>
      <c r="K174" s="770"/>
      <c r="L174" s="770"/>
    </row>
    <row r="175" spans="1:12" ht="18" customHeight="1">
      <c r="A175" s="716"/>
      <c r="B175" s="743"/>
      <c r="C175" s="1577" t="s">
        <v>484</v>
      </c>
      <c r="D175" s="1477"/>
      <c r="E175" s="1477"/>
      <c r="F175" s="1477"/>
      <c r="G175" s="1477"/>
      <c r="H175" s="1477"/>
      <c r="I175" s="872" t="s">
        <v>325</v>
      </c>
      <c r="J175" s="1011" t="s">
        <v>325</v>
      </c>
      <c r="K175" s="770"/>
      <c r="L175" s="770"/>
    </row>
    <row r="176" spans="1:12" ht="15" customHeight="1">
      <c r="A176" s="716"/>
      <c r="B176" s="743"/>
      <c r="C176" s="1577" t="s">
        <v>645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010">
        <f>ROUND(($J$167/(1-$I$179))*I176,2)</f>
        <v>74.13</v>
      </c>
      <c r="K176" s="759"/>
      <c r="L176" s="759"/>
    </row>
    <row r="177" spans="1:12" ht="15.75" customHeight="1">
      <c r="A177" s="716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1000">
        <f>SUM(J164+J166+J170+J171+J176)</f>
        <v>778.84</v>
      </c>
      <c r="K177" s="789"/>
      <c r="L177" s="789"/>
    </row>
    <row r="178" spans="1:12" ht="6.75" customHeight="1">
      <c r="A178" s="716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777"/>
      <c r="L178" s="777"/>
    </row>
    <row r="179" spans="1:12" ht="15.75" customHeight="1">
      <c r="A179" s="716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4">SUM(I170:I176)</f>
        <v>0.1125</v>
      </c>
      <c r="J179" s="866">
        <f t="shared" si="4"/>
        <v>416.98</v>
      </c>
      <c r="K179" s="749"/>
      <c r="L179" s="749"/>
    </row>
    <row r="180" spans="1:12" ht="12.75" customHeight="1">
      <c r="A180" s="716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6"/>
      <c r="L180" s="876"/>
    </row>
    <row r="181" spans="1:12" ht="12" customHeight="1">
      <c r="A181" s="716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8"/>
      <c r="L181" s="878"/>
    </row>
    <row r="182" spans="1:12" ht="13.5" customHeight="1">
      <c r="A182" s="716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6"/>
      <c r="L182" s="876"/>
    </row>
    <row r="183" spans="1:12" ht="6.75" customHeight="1">
      <c r="A183" s="716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879"/>
      <c r="L183" s="879"/>
    </row>
    <row r="184" spans="1:12" ht="24" customHeight="1">
      <c r="A184" s="716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  <c r="L184" s="730"/>
    </row>
    <row r="185" spans="1:12" ht="8.25" customHeight="1">
      <c r="A185" s="716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777"/>
      <c r="L185" s="777"/>
    </row>
    <row r="186" spans="1:12" ht="27.75" customHeight="1">
      <c r="A186" s="716"/>
      <c r="B186" s="1674" t="s">
        <v>646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  <c r="L186" s="828"/>
    </row>
    <row r="187" spans="1:12" ht="15" customHeight="1">
      <c r="A187" s="716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1012" t="s">
        <v>390</v>
      </c>
      <c r="K187" s="697"/>
      <c r="L187" s="697"/>
    </row>
    <row r="188" spans="1:12" ht="15" customHeight="1">
      <c r="A188" s="716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1512.7350000000001</v>
      </c>
      <c r="K188" s="789"/>
      <c r="L188" s="789"/>
    </row>
    <row r="189" spans="1:12" ht="15" customHeight="1">
      <c r="A189" s="716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1297.3200000000002</v>
      </c>
      <c r="K189" s="789"/>
      <c r="L189" s="789"/>
    </row>
    <row r="190" spans="1:12" ht="15" customHeight="1">
      <c r="A190" s="716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84.75</v>
      </c>
      <c r="K190" s="789"/>
      <c r="L190" s="789"/>
    </row>
    <row r="191" spans="1:12" ht="15" customHeight="1">
      <c r="A191" s="716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31.1218</v>
      </c>
      <c r="K191" s="789"/>
      <c r="L191" s="789"/>
    </row>
    <row r="192" spans="1:12" ht="15" customHeight="1">
      <c r="A192" s="716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1.72</v>
      </c>
      <c r="K192" s="789"/>
      <c r="L192" s="789"/>
    </row>
    <row r="193" spans="1:12" ht="15" customHeight="1">
      <c r="A193" s="716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2927.65</v>
      </c>
      <c r="K193" s="789"/>
      <c r="L193" s="789"/>
    </row>
    <row r="194" spans="1:12" ht="15" customHeight="1">
      <c r="A194" s="716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778.84</v>
      </c>
      <c r="K194" s="789"/>
      <c r="L194" s="789"/>
    </row>
    <row r="195" spans="1:12" ht="26.25" customHeight="1">
      <c r="A195" s="716"/>
      <c r="B195" s="1690" t="s">
        <v>647</v>
      </c>
      <c r="C195" s="1477"/>
      <c r="D195" s="1477"/>
      <c r="E195" s="1477"/>
      <c r="F195" s="1477"/>
      <c r="G195" s="1477"/>
      <c r="H195" s="1477"/>
      <c r="I195" s="1521"/>
      <c r="J195" s="1013">
        <f>ROUND(J193+J194,2)</f>
        <v>3706.49</v>
      </c>
      <c r="K195" s="789"/>
      <c r="L195" s="789"/>
    </row>
    <row r="196" spans="1:12" ht="36.75" customHeight="1">
      <c r="A196" s="716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  <c r="L196" s="1014"/>
    </row>
    <row r="197" spans="1:12" ht="9" customHeight="1">
      <c r="A197" s="716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  <c r="L197" s="884"/>
    </row>
    <row r="198" spans="1:12" ht="15" customHeight="1">
      <c r="A198" s="716"/>
      <c r="B198" s="885"/>
      <c r="C198" s="723"/>
      <c r="D198" s="723"/>
      <c r="E198" s="723"/>
      <c r="F198" s="723"/>
      <c r="G198" s="723"/>
      <c r="H198" s="723"/>
      <c r="I198" s="886"/>
      <c r="J198" s="1015"/>
      <c r="K198" s="888"/>
      <c r="L198" s="888"/>
    </row>
    <row r="199" spans="1:12" ht="31.5" customHeight="1">
      <c r="A199" s="716"/>
      <c r="B199" s="1693" t="s">
        <v>502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  <c r="L199" s="724"/>
    </row>
    <row r="200" spans="1:12" ht="54" customHeight="1">
      <c r="A200" s="716"/>
      <c r="B200" s="1641" t="s">
        <v>503</v>
      </c>
      <c r="C200" s="1477"/>
      <c r="D200" s="1477"/>
      <c r="E200" s="1478"/>
      <c r="F200" s="889" t="s">
        <v>648</v>
      </c>
      <c r="G200" s="890"/>
      <c r="H200" s="891" t="s">
        <v>506</v>
      </c>
      <c r="I200" s="1641" t="s">
        <v>507</v>
      </c>
      <c r="J200" s="1478"/>
      <c r="K200" s="697"/>
      <c r="L200" s="697"/>
    </row>
    <row r="201" spans="1:12" ht="33" hidden="1" customHeight="1" outlineLevel="1">
      <c r="A201" s="716"/>
      <c r="B201" s="1577" t="s">
        <v>508</v>
      </c>
      <c r="C201" s="1477"/>
      <c r="D201" s="1477"/>
      <c r="E201" s="1478"/>
      <c r="F201" s="1694">
        <v>0</v>
      </c>
      <c r="G201" s="1478"/>
      <c r="H201" s="892">
        <f t="shared" ref="H201:H202" si="5">E201*F201</f>
        <v>0</v>
      </c>
      <c r="I201" s="1694">
        <f t="shared" ref="I201:I202" si="6">F201*H201</f>
        <v>0</v>
      </c>
      <c r="J201" s="1478"/>
      <c r="K201" s="770"/>
      <c r="L201" s="770"/>
    </row>
    <row r="202" spans="1:12" ht="42.75" hidden="1" customHeight="1" outlineLevel="1">
      <c r="A202" s="716"/>
      <c r="B202" s="1577" t="s">
        <v>509</v>
      </c>
      <c r="C202" s="1477"/>
      <c r="D202" s="1477"/>
      <c r="E202" s="1478"/>
      <c r="F202" s="1694">
        <v>0</v>
      </c>
      <c r="G202" s="1478"/>
      <c r="H202" s="893">
        <f t="shared" si="5"/>
        <v>0</v>
      </c>
      <c r="I202" s="1694">
        <f t="shared" si="6"/>
        <v>0</v>
      </c>
      <c r="J202" s="1478"/>
      <c r="K202" s="770"/>
      <c r="L202" s="770"/>
    </row>
    <row r="203" spans="1:12" ht="35" collapsed="1">
      <c r="A203" s="716"/>
      <c r="B203" s="1609" t="str">
        <f>B3</f>
        <v>5162_20_CUIDADOR-de-ALUNOS_20h</v>
      </c>
      <c r="C203" s="1477"/>
      <c r="D203" s="1477"/>
      <c r="E203" s="1478"/>
      <c r="F203" s="894">
        <f>J195</f>
        <v>3706.49</v>
      </c>
      <c r="G203" s="895">
        <f>I40</f>
        <v>1</v>
      </c>
      <c r="H203" s="896"/>
      <c r="I203" s="1695">
        <f>F203*G203</f>
        <v>3706.49</v>
      </c>
      <c r="J203" s="1478"/>
      <c r="K203" s="897" t="s">
        <v>510</v>
      </c>
      <c r="L203" s="897" t="str">
        <f>B3</f>
        <v>5162_20_CUIDADOR-de-ALUNOS_20h</v>
      </c>
    </row>
    <row r="204" spans="1:12" ht="41.25" hidden="1" customHeight="1" outlineLevel="1">
      <c r="A204" s="716"/>
      <c r="B204" s="1577" t="s">
        <v>511</v>
      </c>
      <c r="C204" s="1477"/>
      <c r="D204" s="1477"/>
      <c r="E204" s="1478"/>
      <c r="F204" s="1696">
        <v>0</v>
      </c>
      <c r="G204" s="1478"/>
      <c r="H204" s="898">
        <f t="shared" ref="H204:I204" si="7">E204*G204</f>
        <v>0</v>
      </c>
      <c r="I204" s="1696">
        <f t="shared" si="7"/>
        <v>0</v>
      </c>
      <c r="J204" s="1478"/>
      <c r="K204" s="770"/>
      <c r="L204" s="770"/>
    </row>
    <row r="205" spans="1:12" ht="39.75" hidden="1" customHeight="1" outlineLevel="1">
      <c r="A205" s="716"/>
      <c r="B205" s="1577" t="s">
        <v>512</v>
      </c>
      <c r="C205" s="1477"/>
      <c r="D205" s="1477"/>
      <c r="E205" s="1478"/>
      <c r="F205" s="1696">
        <v>0</v>
      </c>
      <c r="G205" s="1478"/>
      <c r="H205" s="898">
        <f t="shared" ref="H205:I205" si="8">E205*G205</f>
        <v>0</v>
      </c>
      <c r="I205" s="1696">
        <f t="shared" si="8"/>
        <v>0</v>
      </c>
      <c r="J205" s="1478"/>
      <c r="K205" s="770"/>
      <c r="L205" s="770"/>
    </row>
    <row r="206" spans="1:12" ht="35.25" hidden="1" customHeight="1" outlineLevel="1">
      <c r="A206" s="716"/>
      <c r="B206" s="1698" t="s">
        <v>649</v>
      </c>
      <c r="C206" s="1477"/>
      <c r="D206" s="1477"/>
      <c r="E206" s="1478"/>
      <c r="F206" s="1694">
        <v>0</v>
      </c>
      <c r="G206" s="1478"/>
      <c r="H206" s="898">
        <f t="shared" ref="H206:I206" si="9">E206*G206</f>
        <v>0</v>
      </c>
      <c r="I206" s="1696">
        <f t="shared" si="9"/>
        <v>0</v>
      </c>
      <c r="J206" s="1478"/>
      <c r="K206" s="770"/>
      <c r="L206" s="770"/>
    </row>
    <row r="207" spans="1:12" ht="27" customHeight="1" collapsed="1">
      <c r="A207" s="716"/>
      <c r="B207" s="1699" t="s">
        <v>514</v>
      </c>
      <c r="C207" s="1477"/>
      <c r="D207" s="1477"/>
      <c r="E207" s="1477"/>
      <c r="F207" s="1477"/>
      <c r="G207" s="1478"/>
      <c r="H207" s="899">
        <f>I17</f>
        <v>0</v>
      </c>
      <c r="I207" s="1697">
        <f>H207*I203</f>
        <v>0</v>
      </c>
      <c r="J207" s="1478"/>
      <c r="K207" s="900"/>
      <c r="L207" s="900"/>
    </row>
    <row r="208" spans="1:12" ht="6.75" customHeight="1">
      <c r="A208" s="716"/>
      <c r="B208" s="1704"/>
      <c r="C208" s="1705"/>
      <c r="D208" s="1705"/>
      <c r="E208" s="1705"/>
      <c r="F208" s="1705"/>
      <c r="G208" s="1705"/>
      <c r="H208" s="1705"/>
      <c r="I208" s="1705"/>
      <c r="J208" s="1706"/>
      <c r="K208" s="777"/>
      <c r="L208" s="777"/>
    </row>
    <row r="209" spans="1:12" ht="17.25" customHeight="1">
      <c r="A209" s="716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  <c r="L209" s="730"/>
    </row>
    <row r="210" spans="1:12" ht="6.75" customHeight="1">
      <c r="A210" s="716"/>
      <c r="B210" s="1562"/>
      <c r="C210" s="1477"/>
      <c r="D210" s="1477"/>
      <c r="E210" s="1477"/>
      <c r="F210" s="1477"/>
      <c r="G210" s="1477"/>
      <c r="H210" s="1477"/>
      <c r="I210" s="1477"/>
      <c r="J210" s="1478"/>
      <c r="K210" s="723"/>
      <c r="L210" s="723"/>
    </row>
    <row r="211" spans="1:12" ht="18.75" customHeight="1">
      <c r="A211" s="716"/>
      <c r="B211" s="1563" t="s">
        <v>516</v>
      </c>
      <c r="C211" s="1477"/>
      <c r="D211" s="1477"/>
      <c r="E211" s="1477"/>
      <c r="F211" s="1477"/>
      <c r="G211" s="1478"/>
      <c r="H211" s="1564">
        <f>$I$207</f>
        <v>0</v>
      </c>
      <c r="I211" s="1477"/>
      <c r="J211" s="1478"/>
      <c r="K211" s="901"/>
      <c r="L211" s="901"/>
    </row>
    <row r="212" spans="1:12" ht="8.25" customHeight="1">
      <c r="A212" s="716"/>
      <c r="B212" s="1565"/>
      <c r="C212" s="1528"/>
      <c r="D212" s="1528"/>
      <c r="E212" s="1528"/>
      <c r="F212" s="1528"/>
      <c r="G212" s="1528"/>
      <c r="H212" s="1528"/>
      <c r="I212" s="1528"/>
      <c r="J212" s="1566"/>
      <c r="K212" s="858"/>
      <c r="L212" s="858"/>
    </row>
    <row r="213" spans="1:12" ht="19.5" customHeight="1">
      <c r="A213" s="716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  <c r="L213" s="902"/>
    </row>
    <row r="214" spans="1:12" ht="8.25" customHeight="1">
      <c r="A214" s="716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  <c r="L214" s="903"/>
    </row>
    <row r="215" spans="1:12" ht="31.5" customHeight="1">
      <c r="A215" s="716"/>
      <c r="B215" s="1563" t="s">
        <v>650</v>
      </c>
      <c r="C215" s="1477"/>
      <c r="D215" s="1477"/>
      <c r="E215" s="1477"/>
      <c r="F215" s="1477"/>
      <c r="G215" s="1478"/>
      <c r="H215" s="1569">
        <f>ROUND(H211*H213,2)</f>
        <v>0</v>
      </c>
      <c r="I215" s="1477"/>
      <c r="J215" s="1478"/>
      <c r="K215" s="901"/>
      <c r="L215" s="901"/>
    </row>
    <row r="216" spans="1:12" ht="8.25" customHeight="1">
      <c r="A216" s="716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  <c r="L216" s="723"/>
    </row>
    <row r="217" spans="1:12" ht="15.75" customHeight="1">
      <c r="A217" s="908"/>
      <c r="B217" s="908"/>
      <c r="C217" s="908"/>
      <c r="D217" s="908"/>
      <c r="E217" s="908"/>
      <c r="F217" s="908"/>
      <c r="G217" s="908"/>
      <c r="H217" s="908"/>
      <c r="I217" s="908"/>
      <c r="J217" s="1016"/>
      <c r="K217" s="718"/>
      <c r="L217" s="718"/>
    </row>
    <row r="218" spans="1:12" ht="18" customHeight="1">
      <c r="A218" s="908"/>
      <c r="B218" s="10"/>
      <c r="C218" s="10"/>
      <c r="D218" s="10"/>
      <c r="E218" s="10"/>
      <c r="F218" s="10"/>
      <c r="G218" s="10"/>
      <c r="H218" s="10"/>
      <c r="I218" s="10"/>
      <c r="J218" s="1017"/>
      <c r="K218" s="904"/>
      <c r="L218" s="904"/>
    </row>
    <row r="219" spans="1:12" ht="36" hidden="1" customHeight="1" outlineLevel="1">
      <c r="A219" s="908"/>
      <c r="B219" s="905" t="s">
        <v>651</v>
      </c>
      <c r="C219" s="906"/>
      <c r="D219" s="906"/>
      <c r="E219" s="906"/>
      <c r="F219" s="906"/>
      <c r="G219" s="907" t="str">
        <f>B3</f>
        <v>5162_20_CUIDADOR-de-ALUNOS_20h</v>
      </c>
      <c r="H219" s="906"/>
      <c r="I219" s="906"/>
      <c r="J219" s="1018"/>
      <c r="K219" s="904"/>
      <c r="L219" s="904"/>
    </row>
    <row r="220" spans="1:12" ht="18" hidden="1" customHeight="1" outlineLevel="1">
      <c r="A220" s="908"/>
      <c r="B220" s="1571" t="s">
        <v>352</v>
      </c>
      <c r="C220" s="1477"/>
      <c r="D220" s="1477"/>
      <c r="E220" s="1477"/>
      <c r="F220" s="1477"/>
      <c r="G220" s="1477"/>
      <c r="H220" s="1477"/>
      <c r="I220" s="1477"/>
      <c r="J220" s="1478"/>
      <c r="K220" s="900"/>
      <c r="L220" s="900"/>
    </row>
    <row r="221" spans="1:12" ht="15.75" hidden="1" customHeight="1" outlineLevel="1">
      <c r="A221" s="908"/>
      <c r="B221" s="753">
        <v>1</v>
      </c>
      <c r="C221" s="1603" t="s">
        <v>652</v>
      </c>
      <c r="D221" s="1477"/>
      <c r="E221" s="1477"/>
      <c r="F221" s="1477"/>
      <c r="G221" s="1477"/>
      <c r="H221" s="1478"/>
      <c r="I221" s="754" t="s">
        <v>653</v>
      </c>
      <c r="J221" s="992" t="s">
        <v>355</v>
      </c>
      <c r="K221" s="900"/>
      <c r="L221" s="900"/>
    </row>
    <row r="222" spans="1:12" ht="31.5" hidden="1" customHeight="1" outlineLevel="1">
      <c r="A222" s="908"/>
      <c r="B222" s="696" t="s">
        <v>360</v>
      </c>
      <c r="C222" s="1573" t="s">
        <v>654</v>
      </c>
      <c r="D222" s="1477"/>
      <c r="E222" s="1478"/>
      <c r="F222" s="763" t="s">
        <v>362</v>
      </c>
      <c r="G222" s="909">
        <v>0</v>
      </c>
      <c r="H222" s="763" t="s">
        <v>522</v>
      </c>
      <c r="I222" s="765">
        <f>I33*0.2</f>
        <v>3.0268000000000002</v>
      </c>
      <c r="J222" s="766">
        <f t="shared" ref="J222:J224" si="10">G222*I222</f>
        <v>0</v>
      </c>
      <c r="K222" s="910"/>
      <c r="L222" s="910"/>
    </row>
    <row r="223" spans="1:12" ht="31.5" hidden="1" customHeight="1" outlineLevel="1">
      <c r="A223" s="908"/>
      <c r="B223" s="696" t="s">
        <v>368</v>
      </c>
      <c r="C223" s="1574" t="s">
        <v>655</v>
      </c>
      <c r="D223" s="1575"/>
      <c r="E223" s="1575"/>
      <c r="F223" s="763" t="s">
        <v>370</v>
      </c>
      <c r="G223" s="909">
        <v>0</v>
      </c>
      <c r="H223" s="763" t="s">
        <v>524</v>
      </c>
      <c r="I223" s="765">
        <f>I33*1.5</f>
        <v>22.701000000000001</v>
      </c>
      <c r="J223" s="766">
        <f t="shared" si="10"/>
        <v>0</v>
      </c>
      <c r="K223" s="910"/>
      <c r="L223" s="910"/>
    </row>
    <row r="224" spans="1:12" ht="31.5" hidden="1" customHeight="1" outlineLevel="1">
      <c r="A224" s="908"/>
      <c r="B224" s="696" t="s">
        <v>372</v>
      </c>
      <c r="C224" s="1574" t="s">
        <v>656</v>
      </c>
      <c r="D224" s="1575"/>
      <c r="E224" s="1575"/>
      <c r="F224" s="763" t="s">
        <v>374</v>
      </c>
      <c r="G224" s="909">
        <v>0</v>
      </c>
      <c r="H224" s="763" t="s">
        <v>526</v>
      </c>
      <c r="I224" s="765">
        <f>I33*2</f>
        <v>30.268000000000001</v>
      </c>
      <c r="J224" s="767">
        <f t="shared" si="10"/>
        <v>0</v>
      </c>
      <c r="K224" s="910"/>
      <c r="L224" s="910"/>
    </row>
    <row r="225" spans="1:12" ht="39.75" hidden="1" customHeight="1" outlineLevel="1">
      <c r="A225" s="908"/>
      <c r="B225" s="696" t="s">
        <v>376</v>
      </c>
      <c r="C225" s="1576" t="s">
        <v>657</v>
      </c>
      <c r="D225" s="1419"/>
      <c r="E225" s="1419"/>
      <c r="F225" s="763" t="s">
        <v>378</v>
      </c>
      <c r="G225" s="768">
        <f>SUM(G222:G224)*0.2</f>
        <v>0</v>
      </c>
      <c r="H225" s="763"/>
      <c r="I225" s="765"/>
      <c r="J225" s="767">
        <f>ROUND(SUM(J222:J224)*0.2,2)</f>
        <v>0</v>
      </c>
      <c r="K225" s="910"/>
      <c r="L225" s="910"/>
    </row>
    <row r="226" spans="1:12" ht="75.75" hidden="1" customHeight="1" outlineLevel="1">
      <c r="A226" s="908"/>
      <c r="B226" s="696" t="s">
        <v>379</v>
      </c>
      <c r="C226" s="1577" t="s">
        <v>380</v>
      </c>
      <c r="D226" s="1477"/>
      <c r="E226" s="1477"/>
      <c r="F226" s="1477"/>
      <c r="G226" s="1477"/>
      <c r="H226" s="1477"/>
      <c r="I226" s="1478"/>
      <c r="J226" s="769" t="s">
        <v>325</v>
      </c>
      <c r="K226" s="900"/>
      <c r="L226" s="900"/>
    </row>
    <row r="227" spans="1:12" ht="42.75" hidden="1" customHeight="1" outlineLevel="1">
      <c r="A227" s="908"/>
      <c r="B227" s="1578" t="s">
        <v>658</v>
      </c>
      <c r="C227" s="1477"/>
      <c r="D227" s="1477"/>
      <c r="E227" s="1477"/>
      <c r="F227" s="1477"/>
      <c r="G227" s="1477"/>
      <c r="H227" s="1477"/>
      <c r="I227" s="1478"/>
      <c r="J227" s="775">
        <f>SUM(J222:J226)</f>
        <v>0</v>
      </c>
      <c r="K227" s="900"/>
      <c r="L227" s="900"/>
    </row>
    <row r="228" spans="1:12" ht="15.75" hidden="1" customHeight="1" outlineLevel="1">
      <c r="A228" s="908"/>
      <c r="B228" s="908"/>
      <c r="C228" s="908"/>
      <c r="D228" s="908"/>
      <c r="E228" s="908"/>
      <c r="F228" s="908"/>
      <c r="G228" s="908"/>
      <c r="H228" s="908"/>
      <c r="I228" s="908"/>
      <c r="J228" s="1016"/>
      <c r="K228" s="900"/>
      <c r="L228" s="900"/>
    </row>
    <row r="229" spans="1:12" ht="15.75" hidden="1" customHeight="1" outlineLevel="1">
      <c r="A229" s="908"/>
      <c r="B229" s="1579" t="s">
        <v>386</v>
      </c>
      <c r="C229" s="1477"/>
      <c r="D229" s="1477"/>
      <c r="E229" s="1477"/>
      <c r="F229" s="1477"/>
      <c r="G229" s="1477"/>
      <c r="H229" s="1477"/>
      <c r="I229" s="1477"/>
      <c r="J229" s="1478"/>
      <c r="K229" s="900"/>
      <c r="L229" s="900"/>
    </row>
    <row r="230" spans="1:12" ht="15.75" hidden="1" customHeight="1" outlineLevel="1">
      <c r="A230" s="908"/>
      <c r="B230" s="1580" t="s">
        <v>659</v>
      </c>
      <c r="C230" s="1477"/>
      <c r="D230" s="1477"/>
      <c r="E230" s="1477"/>
      <c r="F230" s="1477"/>
      <c r="G230" s="1477"/>
      <c r="H230" s="1477"/>
      <c r="I230" s="1477"/>
      <c r="J230" s="1478"/>
      <c r="K230" s="900"/>
      <c r="L230" s="900"/>
    </row>
    <row r="231" spans="1:12" ht="18" hidden="1" customHeight="1" outlineLevel="1">
      <c r="A231" s="908"/>
      <c r="B231" s="911">
        <v>45659</v>
      </c>
      <c r="C231" s="1581" t="s">
        <v>530</v>
      </c>
      <c r="D231" s="1477"/>
      <c r="E231" s="1477"/>
      <c r="F231" s="1477"/>
      <c r="G231" s="1477"/>
      <c r="H231" s="1477"/>
      <c r="I231" s="1478"/>
      <c r="J231" s="1019" t="s">
        <v>390</v>
      </c>
      <c r="K231" s="900"/>
      <c r="L231" s="900"/>
    </row>
    <row r="232" spans="1:12" ht="15.75" hidden="1" customHeight="1" outlineLevel="1">
      <c r="A232" s="908"/>
      <c r="B232" s="912" t="s">
        <v>312</v>
      </c>
      <c r="C232" s="1553" t="s">
        <v>531</v>
      </c>
      <c r="D232" s="1477"/>
      <c r="E232" s="1477"/>
      <c r="F232" s="1477"/>
      <c r="G232" s="1477"/>
      <c r="H232" s="1478"/>
      <c r="I232" s="913">
        <f t="shared" ref="I232:I233" si="11">I70</f>
        <v>8.3299999999999999E-2</v>
      </c>
      <c r="J232" s="766">
        <f>J227*I232</f>
        <v>0</v>
      </c>
      <c r="K232" s="900"/>
      <c r="L232" s="900"/>
    </row>
    <row r="233" spans="1:12" ht="15.75" hidden="1" customHeight="1" outlineLevel="1">
      <c r="A233" s="908"/>
      <c r="B233" s="912" t="s">
        <v>314</v>
      </c>
      <c r="C233" s="1582" t="s">
        <v>660</v>
      </c>
      <c r="D233" s="1477"/>
      <c r="E233" s="1477"/>
      <c r="F233" s="1477"/>
      <c r="G233" s="1477"/>
      <c r="H233" s="1478"/>
      <c r="I233" s="913">
        <f t="shared" si="11"/>
        <v>3.0249999999999999E-2</v>
      </c>
      <c r="J233" s="766">
        <f>J227*I233</f>
        <v>0</v>
      </c>
      <c r="K233" s="900"/>
      <c r="L233" s="900"/>
    </row>
    <row r="234" spans="1:12" ht="15.75" hidden="1" customHeight="1" outlineLevel="1">
      <c r="A234" s="908"/>
      <c r="B234" s="1583" t="s">
        <v>393</v>
      </c>
      <c r="C234" s="1477"/>
      <c r="D234" s="1477"/>
      <c r="E234" s="1477"/>
      <c r="F234" s="1477"/>
      <c r="G234" s="1477"/>
      <c r="H234" s="1477"/>
      <c r="I234" s="1478"/>
      <c r="J234" s="775">
        <f>SUM(J232:J233)</f>
        <v>0</v>
      </c>
      <c r="K234" s="900"/>
      <c r="L234" s="900"/>
    </row>
    <row r="235" spans="1:12" ht="15.75" hidden="1" customHeight="1" outlineLevel="1">
      <c r="A235" s="908"/>
      <c r="B235" s="908"/>
      <c r="C235" s="908"/>
      <c r="D235" s="908"/>
      <c r="E235" s="908"/>
      <c r="F235" s="908"/>
      <c r="G235" s="908"/>
      <c r="H235" s="908"/>
      <c r="I235" s="908"/>
      <c r="J235" s="1016"/>
      <c r="K235" s="900"/>
      <c r="L235" s="900"/>
    </row>
    <row r="236" spans="1:12" ht="15.75" hidden="1" customHeight="1" outlineLevel="1">
      <c r="A236" s="908"/>
      <c r="B236" s="791" t="s">
        <v>396</v>
      </c>
      <c r="C236" s="1664" t="s">
        <v>661</v>
      </c>
      <c r="D236" s="1477"/>
      <c r="E236" s="1477"/>
      <c r="F236" s="1477"/>
      <c r="G236" s="1477"/>
      <c r="H236" s="1478"/>
      <c r="I236" s="792" t="s">
        <v>354</v>
      </c>
      <c r="J236" s="997" t="s">
        <v>398</v>
      </c>
      <c r="K236" s="900"/>
      <c r="L236" s="900"/>
    </row>
    <row r="237" spans="1:12" ht="15.75" hidden="1" customHeight="1" outlineLevel="1">
      <c r="A237" s="908"/>
      <c r="B237" s="794" t="s">
        <v>312</v>
      </c>
      <c r="C237" s="1577" t="s">
        <v>399</v>
      </c>
      <c r="D237" s="1477"/>
      <c r="E237" s="1477"/>
      <c r="F237" s="1477"/>
      <c r="G237" s="1477"/>
      <c r="H237" s="1478"/>
      <c r="I237" s="795">
        <f t="shared" ref="I237:I238" si="12">I78</f>
        <v>0.2</v>
      </c>
      <c r="J237" s="796">
        <f>ROUND((J227+J234)*I237,2)</f>
        <v>0</v>
      </c>
      <c r="K237" s="900"/>
      <c r="L237" s="900"/>
    </row>
    <row r="238" spans="1:12" ht="15.75" hidden="1" customHeight="1" outlineLevel="1">
      <c r="A238" s="908"/>
      <c r="B238" s="794" t="s">
        <v>314</v>
      </c>
      <c r="C238" s="1577" t="s">
        <v>400</v>
      </c>
      <c r="D238" s="1477"/>
      <c r="E238" s="1477"/>
      <c r="F238" s="1477"/>
      <c r="G238" s="1477"/>
      <c r="H238" s="1478"/>
      <c r="I238" s="795">
        <f t="shared" si="12"/>
        <v>2.5000000000000001E-2</v>
      </c>
      <c r="J238" s="796">
        <f>ROUND((J227+J234)*I238,2)</f>
        <v>0</v>
      </c>
      <c r="K238" s="900"/>
      <c r="L238" s="900"/>
    </row>
    <row r="239" spans="1:12" ht="15.75" hidden="1" customHeight="1" outlineLevel="1">
      <c r="A239" s="908"/>
      <c r="B239" s="794" t="s">
        <v>316</v>
      </c>
      <c r="C239" s="1577" t="s">
        <v>662</v>
      </c>
      <c r="D239" s="1478"/>
      <c r="E239" s="735" t="s">
        <v>402</v>
      </c>
      <c r="F239" s="797">
        <f>F80</f>
        <v>0.03</v>
      </c>
      <c r="G239" s="735" t="s">
        <v>403</v>
      </c>
      <c r="H239" s="798">
        <f t="shared" ref="H239:I239" si="13">H80</f>
        <v>1</v>
      </c>
      <c r="I239" s="795">
        <f t="shared" si="13"/>
        <v>0.03</v>
      </c>
      <c r="J239" s="796">
        <f>ROUND((J227+J234)*I239,2)</f>
        <v>0</v>
      </c>
      <c r="K239" s="900"/>
      <c r="L239" s="900"/>
    </row>
    <row r="240" spans="1:12" ht="15.75" hidden="1" customHeight="1" outlineLevel="1">
      <c r="A240" s="908"/>
      <c r="B240" s="794" t="s">
        <v>318</v>
      </c>
      <c r="C240" s="1577" t="s">
        <v>404</v>
      </c>
      <c r="D240" s="1477"/>
      <c r="E240" s="1477"/>
      <c r="F240" s="1477"/>
      <c r="G240" s="1477"/>
      <c r="H240" s="1478"/>
      <c r="I240" s="795">
        <f t="shared" ref="I240:I244" si="14">I81</f>
        <v>1.4999999999999999E-2</v>
      </c>
      <c r="J240" s="796">
        <f>ROUND((J227+J234)*I240,2)</f>
        <v>0</v>
      </c>
      <c r="K240" s="900"/>
      <c r="L240" s="900"/>
    </row>
    <row r="241" spans="1:12" ht="15.75" hidden="1" customHeight="1" outlineLevel="1">
      <c r="A241" s="908"/>
      <c r="B241" s="794" t="s">
        <v>360</v>
      </c>
      <c r="C241" s="1577" t="s">
        <v>405</v>
      </c>
      <c r="D241" s="1477"/>
      <c r="E241" s="1477"/>
      <c r="F241" s="1477"/>
      <c r="G241" s="1477"/>
      <c r="H241" s="1478"/>
      <c r="I241" s="795">
        <f t="shared" si="14"/>
        <v>0.01</v>
      </c>
      <c r="J241" s="796">
        <f>ROUND((J227+J234)*I241,2)</f>
        <v>0</v>
      </c>
      <c r="K241" s="900"/>
      <c r="L241" s="900"/>
    </row>
    <row r="242" spans="1:12" ht="15.75" hidden="1" customHeight="1" outlineLevel="1">
      <c r="A242" s="908"/>
      <c r="B242" s="794" t="s">
        <v>364</v>
      </c>
      <c r="C242" s="1577" t="s">
        <v>406</v>
      </c>
      <c r="D242" s="1477"/>
      <c r="E242" s="1477"/>
      <c r="F242" s="1477"/>
      <c r="G242" s="1477"/>
      <c r="H242" s="1478"/>
      <c r="I242" s="795">
        <f t="shared" si="14"/>
        <v>6.0000000000000001E-3</v>
      </c>
      <c r="J242" s="796">
        <f>ROUND((J227+J234)*I242,2)</f>
        <v>0</v>
      </c>
      <c r="K242" s="900"/>
      <c r="L242" s="900"/>
    </row>
    <row r="243" spans="1:12" ht="15.75" hidden="1" customHeight="1" outlineLevel="1">
      <c r="A243" s="908"/>
      <c r="B243" s="794" t="s">
        <v>366</v>
      </c>
      <c r="C243" s="1577" t="s">
        <v>407</v>
      </c>
      <c r="D243" s="1477"/>
      <c r="E243" s="1477"/>
      <c r="F243" s="1477"/>
      <c r="G243" s="1477"/>
      <c r="H243" s="1478"/>
      <c r="I243" s="795">
        <f t="shared" si="14"/>
        <v>2E-3</v>
      </c>
      <c r="J243" s="796">
        <f>ROUND((J227+J234)*I243,2)</f>
        <v>0</v>
      </c>
      <c r="K243" s="900"/>
      <c r="L243" s="900"/>
    </row>
    <row r="244" spans="1:12" ht="15.75" hidden="1" customHeight="1" outlineLevel="1">
      <c r="A244" s="908"/>
      <c r="B244" s="794" t="s">
        <v>368</v>
      </c>
      <c r="C244" s="1577" t="s">
        <v>408</v>
      </c>
      <c r="D244" s="1477"/>
      <c r="E244" s="1477"/>
      <c r="F244" s="1477"/>
      <c r="G244" s="1477"/>
      <c r="H244" s="1478"/>
      <c r="I244" s="795">
        <f t="shared" si="14"/>
        <v>0.08</v>
      </c>
      <c r="J244" s="796">
        <f>ROUND((J227+J234)*I244,2)</f>
        <v>0</v>
      </c>
      <c r="K244" s="900"/>
      <c r="L244" s="900"/>
    </row>
    <row r="245" spans="1:12" ht="15.75" hidden="1" customHeight="1" outlineLevel="1">
      <c r="A245" s="908"/>
      <c r="B245" s="1585" t="s">
        <v>393</v>
      </c>
      <c r="C245" s="1477"/>
      <c r="D245" s="1477"/>
      <c r="E245" s="1477"/>
      <c r="F245" s="1477"/>
      <c r="G245" s="1477"/>
      <c r="H245" s="1478"/>
      <c r="I245" s="800">
        <f t="shared" ref="I245:J245" si="15">SUM(I237:I244)</f>
        <v>0.36800000000000005</v>
      </c>
      <c r="J245" s="775">
        <f t="shared" si="15"/>
        <v>0</v>
      </c>
      <c r="K245" s="900"/>
      <c r="L245" s="900"/>
    </row>
    <row r="246" spans="1:12" ht="15.75" hidden="1" customHeight="1" outlineLevel="1">
      <c r="A246" s="908"/>
      <c r="B246" s="908"/>
      <c r="C246" s="908"/>
      <c r="D246" s="908"/>
      <c r="E246" s="908"/>
      <c r="F246" s="908"/>
      <c r="G246" s="908"/>
      <c r="H246" s="908"/>
      <c r="I246" s="908"/>
      <c r="J246" s="1016"/>
      <c r="K246" s="900"/>
      <c r="L246" s="900"/>
    </row>
    <row r="247" spans="1:12" ht="15.75" hidden="1" customHeight="1" outlineLevel="1">
      <c r="A247" s="908"/>
      <c r="B247" s="1579" t="s">
        <v>663</v>
      </c>
      <c r="C247" s="1477"/>
      <c r="D247" s="1477"/>
      <c r="E247" s="1477"/>
      <c r="F247" s="1477"/>
      <c r="G247" s="1477"/>
      <c r="H247" s="1477"/>
      <c r="I247" s="1477"/>
      <c r="J247" s="1478"/>
      <c r="K247" s="900"/>
      <c r="L247" s="900"/>
    </row>
    <row r="248" spans="1:12" ht="15.75" hidden="1" customHeight="1" outlineLevel="1">
      <c r="A248" s="908"/>
      <c r="B248" s="914">
        <v>3</v>
      </c>
      <c r="C248" s="1586" t="s">
        <v>435</v>
      </c>
      <c r="D248" s="1477"/>
      <c r="E248" s="1477"/>
      <c r="F248" s="1477"/>
      <c r="G248" s="1477"/>
      <c r="H248" s="1477"/>
      <c r="I248" s="1478"/>
      <c r="J248" s="1020" t="s">
        <v>390</v>
      </c>
      <c r="K248" s="900"/>
      <c r="L248" s="900"/>
    </row>
    <row r="249" spans="1:12" ht="15.75" hidden="1" customHeight="1" outlineLevel="1">
      <c r="A249" s="908"/>
      <c r="B249" s="915" t="s">
        <v>312</v>
      </c>
      <c r="C249" s="1587" t="s">
        <v>536</v>
      </c>
      <c r="D249" s="1477"/>
      <c r="E249" s="1477"/>
      <c r="F249" s="1477"/>
      <c r="G249" s="1477"/>
      <c r="H249" s="1477"/>
      <c r="I249" s="1478"/>
      <c r="J249" s="796">
        <f>ROUND((J227/12)+(J234/12),0)*1*0.05</f>
        <v>0</v>
      </c>
      <c r="K249" s="900"/>
      <c r="L249" s="900"/>
    </row>
    <row r="250" spans="1:12" ht="15.75" hidden="1" customHeight="1" outlineLevel="1">
      <c r="A250" s="908"/>
      <c r="B250" s="915" t="s">
        <v>314</v>
      </c>
      <c r="C250" s="1587" t="s">
        <v>437</v>
      </c>
      <c r="D250" s="1477"/>
      <c r="E250" s="1477"/>
      <c r="F250" s="1477"/>
      <c r="G250" s="1477"/>
      <c r="H250" s="1477"/>
      <c r="I250" s="1478"/>
      <c r="J250" s="796">
        <f>(J249*I244)</f>
        <v>0</v>
      </c>
      <c r="K250" s="900"/>
      <c r="L250" s="900"/>
    </row>
    <row r="251" spans="1:12" ht="63.75" hidden="1" customHeight="1" outlineLevel="1">
      <c r="A251" s="908"/>
      <c r="B251" s="915" t="s">
        <v>316</v>
      </c>
      <c r="C251" s="1588" t="s">
        <v>664</v>
      </c>
      <c r="D251" s="1477"/>
      <c r="E251" s="1477"/>
      <c r="F251" s="1477"/>
      <c r="G251" s="1477"/>
      <c r="H251" s="1477"/>
      <c r="I251" s="916" t="s">
        <v>128</v>
      </c>
      <c r="J251" s="796">
        <f>ROUND(((7/30)/$I$11)*$J$227*1,2)</f>
        <v>0</v>
      </c>
      <c r="K251" s="900"/>
      <c r="L251" s="900"/>
    </row>
    <row r="252" spans="1:12" ht="15.75" hidden="1" customHeight="1" outlineLevel="1">
      <c r="A252" s="908"/>
      <c r="B252" s="915" t="s">
        <v>318</v>
      </c>
      <c r="C252" s="1587" t="s">
        <v>439</v>
      </c>
      <c r="D252" s="1477"/>
      <c r="E252" s="1477"/>
      <c r="F252" s="1477"/>
      <c r="G252" s="1477"/>
      <c r="H252" s="1477"/>
      <c r="I252" s="1478"/>
      <c r="J252" s="796">
        <f>I245*J251</f>
        <v>0</v>
      </c>
      <c r="K252" s="900"/>
      <c r="L252" s="900"/>
    </row>
    <row r="253" spans="1:12" ht="25.5" hidden="1" customHeight="1" outlineLevel="1">
      <c r="A253" s="908"/>
      <c r="B253" s="915" t="s">
        <v>360</v>
      </c>
      <c r="C253" s="1587" t="s">
        <v>538</v>
      </c>
      <c r="D253" s="1477"/>
      <c r="E253" s="1477"/>
      <c r="F253" s="1477"/>
      <c r="G253" s="1477"/>
      <c r="H253" s="1478"/>
      <c r="I253" s="917">
        <f>I123</f>
        <v>0.04</v>
      </c>
      <c r="J253" s="796">
        <f>I253*J227</f>
        <v>0</v>
      </c>
      <c r="K253" s="900"/>
      <c r="L253" s="900"/>
    </row>
    <row r="254" spans="1:12" ht="15.75" hidden="1" customHeight="1" outlineLevel="1">
      <c r="A254" s="908"/>
      <c r="B254" s="1583" t="s">
        <v>441</v>
      </c>
      <c r="C254" s="1477"/>
      <c r="D254" s="1477"/>
      <c r="E254" s="1477"/>
      <c r="F254" s="1477"/>
      <c r="G254" s="1477"/>
      <c r="H254" s="1477"/>
      <c r="I254" s="1478"/>
      <c r="J254" s="775">
        <f>SUM(J249:J253)</f>
        <v>0</v>
      </c>
      <c r="K254" s="900"/>
      <c r="L254" s="900"/>
    </row>
    <row r="255" spans="1:12" ht="15.75" hidden="1" customHeight="1" outlineLevel="1">
      <c r="A255" s="908"/>
      <c r="B255" s="908"/>
      <c r="C255" s="908"/>
      <c r="D255" s="908"/>
      <c r="E255" s="908"/>
      <c r="F255" s="908"/>
      <c r="G255" s="908"/>
      <c r="H255" s="908"/>
      <c r="I255" s="908"/>
      <c r="J255" s="1016"/>
      <c r="K255" s="900"/>
      <c r="L255" s="900"/>
    </row>
    <row r="256" spans="1:12" ht="27.75" hidden="1" customHeight="1" outlineLevel="1">
      <c r="A256" s="908"/>
      <c r="B256" s="1553" t="s">
        <v>539</v>
      </c>
      <c r="C256" s="1477"/>
      <c r="D256" s="1477"/>
      <c r="E256" s="1477"/>
      <c r="F256" s="1477"/>
      <c r="G256" s="1477"/>
      <c r="H256" s="1477"/>
      <c r="I256" s="1477"/>
      <c r="J256" s="1478"/>
      <c r="K256" s="900"/>
      <c r="L256" s="900"/>
    </row>
    <row r="257" spans="1:12" ht="33.75" hidden="1" customHeight="1" outlineLevel="1">
      <c r="A257" s="908"/>
      <c r="B257" s="832" t="s">
        <v>540</v>
      </c>
      <c r="C257" s="833">
        <f>J227</f>
        <v>0</v>
      </c>
      <c r="D257" s="918" t="s">
        <v>446</v>
      </c>
      <c r="E257" s="832" t="s">
        <v>541</v>
      </c>
      <c r="F257" s="833">
        <f>J234+J245</f>
        <v>0</v>
      </c>
      <c r="G257" s="918" t="s">
        <v>446</v>
      </c>
      <c r="H257" s="832" t="s">
        <v>448</v>
      </c>
      <c r="I257" s="833">
        <f>J254</f>
        <v>0</v>
      </c>
      <c r="J257" s="835">
        <f>C257+F257+I257</f>
        <v>0</v>
      </c>
      <c r="K257" s="900"/>
      <c r="L257" s="900"/>
    </row>
    <row r="258" spans="1:12" ht="24" hidden="1" customHeight="1" outlineLevel="1">
      <c r="A258" s="908"/>
      <c r="B258" s="908"/>
      <c r="C258" s="908"/>
      <c r="D258" s="908"/>
      <c r="E258" s="908"/>
      <c r="F258" s="908"/>
      <c r="G258" s="908"/>
      <c r="H258" s="908"/>
      <c r="I258" s="908"/>
      <c r="J258" s="1016"/>
      <c r="K258" s="900"/>
      <c r="L258" s="900"/>
    </row>
    <row r="259" spans="1:12" ht="30.75" hidden="1" customHeight="1" outlineLevel="1">
      <c r="A259" s="908"/>
      <c r="B259" s="1554" t="s">
        <v>449</v>
      </c>
      <c r="C259" s="1477"/>
      <c r="D259" s="1477"/>
      <c r="E259" s="1477"/>
      <c r="F259" s="1477"/>
      <c r="G259" s="1477"/>
      <c r="H259" s="1477"/>
      <c r="I259" s="1477"/>
      <c r="J259" s="1478"/>
      <c r="K259" s="900"/>
      <c r="L259" s="900"/>
    </row>
    <row r="260" spans="1:12" ht="15.75" hidden="1" customHeight="1" outlineLevel="1">
      <c r="A260" s="908"/>
      <c r="B260" s="805" t="s">
        <v>450</v>
      </c>
      <c r="C260" s="1555" t="s">
        <v>451</v>
      </c>
      <c r="D260" s="1477"/>
      <c r="E260" s="1477"/>
      <c r="F260" s="1477"/>
      <c r="G260" s="1477"/>
      <c r="H260" s="1477"/>
      <c r="I260" s="1478"/>
      <c r="J260" s="1021" t="s">
        <v>390</v>
      </c>
      <c r="K260" s="900"/>
      <c r="L260" s="900"/>
    </row>
    <row r="261" spans="1:12" ht="33" hidden="1" customHeight="1" outlineLevel="1">
      <c r="A261" s="908"/>
      <c r="B261" s="919" t="s">
        <v>312</v>
      </c>
      <c r="C261" s="1556" t="s">
        <v>665</v>
      </c>
      <c r="D261" s="1477"/>
      <c r="E261" s="1477"/>
      <c r="F261" s="1477"/>
      <c r="G261" s="1477"/>
      <c r="H261" s="840">
        <f t="shared" ref="H261:I261" si="16">H133</f>
        <v>9.0749999999999997E-2</v>
      </c>
      <c r="I261" s="920">
        <f t="shared" si="16"/>
        <v>0.36800000000000005</v>
      </c>
      <c r="J261" s="1022">
        <f>IF('1-ABA-DE-CARREGAMENTO'!D81="S",(ROUND(H261*J227,2)*(1+I261)),IF('1-ABA-DE-CARREGAMENTO'!D81="N",0,"INFORME S ou N"))</f>
        <v>0</v>
      </c>
      <c r="K261" s="900"/>
      <c r="L261" s="900"/>
    </row>
    <row r="262" spans="1:12" ht="32.25" hidden="1" customHeight="1" outlineLevel="1">
      <c r="A262" s="908"/>
      <c r="B262" s="919" t="s">
        <v>314</v>
      </c>
      <c r="C262" s="1556" t="s">
        <v>666</v>
      </c>
      <c r="D262" s="1477"/>
      <c r="E262" s="1477"/>
      <c r="F262" s="1477"/>
      <c r="G262" s="1477"/>
      <c r="H262" s="1477"/>
      <c r="I262" s="1478"/>
      <c r="J262" s="922">
        <f>ROUND((1/30)/12*(J257),2)</f>
        <v>0</v>
      </c>
      <c r="K262" s="1707" t="s">
        <v>667</v>
      </c>
      <c r="L262" s="1419"/>
    </row>
    <row r="263" spans="1:12" ht="36.75" hidden="1" customHeight="1" outlineLevel="1">
      <c r="A263" s="908"/>
      <c r="B263" s="919" t="s">
        <v>316</v>
      </c>
      <c r="C263" s="1556" t="s">
        <v>668</v>
      </c>
      <c r="D263" s="1477"/>
      <c r="E263" s="1477"/>
      <c r="F263" s="1477"/>
      <c r="G263" s="1477"/>
      <c r="H263" s="1477"/>
      <c r="I263" s="1478"/>
      <c r="J263" s="923">
        <f>ROUND((5/30)/12*0.015*(J257),2)</f>
        <v>0</v>
      </c>
      <c r="K263" s="900"/>
      <c r="L263" s="900"/>
    </row>
    <row r="264" spans="1:12" ht="24.75" hidden="1" customHeight="1" outlineLevel="1">
      <c r="A264" s="908"/>
      <c r="B264" s="919" t="s">
        <v>318</v>
      </c>
      <c r="C264" s="1556" t="s">
        <v>669</v>
      </c>
      <c r="D264" s="1477"/>
      <c r="E264" s="1477"/>
      <c r="F264" s="1477"/>
      <c r="G264" s="1477"/>
      <c r="H264" s="1477"/>
      <c r="I264" s="1478"/>
      <c r="J264" s="923">
        <f>ROUND(((15/30)/12)*0.0078*(J257),2)</f>
        <v>0</v>
      </c>
      <c r="K264" s="900"/>
      <c r="L264" s="900"/>
    </row>
    <row r="265" spans="1:12" ht="40.5" hidden="1" customHeight="1" outlineLevel="1">
      <c r="A265" s="908"/>
      <c r="B265" s="924" t="s">
        <v>360</v>
      </c>
      <c r="C265" s="1557" t="s">
        <v>670</v>
      </c>
      <c r="D265" s="1477"/>
      <c r="E265" s="1477"/>
      <c r="F265" s="1477"/>
      <c r="G265" s="1477"/>
      <c r="H265" s="1477"/>
      <c r="I265" s="1478"/>
      <c r="J265" s="925">
        <f>ROUND((((C257+C257/3)+(I245)*(C257+C257/3))*(4/12))/12,0)*0.02+((J254*4)/12)*0.02</f>
        <v>0</v>
      </c>
      <c r="K265" s="900"/>
      <c r="L265" s="900"/>
    </row>
    <row r="266" spans="1:12" ht="68.25" hidden="1" customHeight="1" outlineLevel="1">
      <c r="A266" s="908"/>
      <c r="B266" s="919" t="s">
        <v>364</v>
      </c>
      <c r="C266" s="1556" t="s">
        <v>671</v>
      </c>
      <c r="D266" s="1477"/>
      <c r="E266" s="1477"/>
      <c r="F266" s="1477"/>
      <c r="G266" s="1477"/>
      <c r="H266" s="1477"/>
      <c r="I266" s="1478"/>
      <c r="J266" s="926">
        <f>ROUND(((3/30)/12)*(J257),2)</f>
        <v>0</v>
      </c>
      <c r="K266" s="900"/>
      <c r="L266" s="900"/>
    </row>
    <row r="267" spans="1:12" ht="24.75" hidden="1" customHeight="1" outlineLevel="1">
      <c r="A267" s="908"/>
      <c r="B267" s="1558" t="s">
        <v>393</v>
      </c>
      <c r="C267" s="1477"/>
      <c r="D267" s="1477"/>
      <c r="E267" s="1477"/>
      <c r="F267" s="1477"/>
      <c r="G267" s="1477"/>
      <c r="H267" s="1477"/>
      <c r="I267" s="1478"/>
      <c r="J267" s="927">
        <f>SUM(J261:J266)</f>
        <v>0</v>
      </c>
      <c r="K267" s="900"/>
      <c r="L267" s="900"/>
    </row>
    <row r="268" spans="1:12" ht="43.5" hidden="1" customHeight="1" outlineLevel="1">
      <c r="A268" s="908"/>
      <c r="B268" s="908"/>
      <c r="C268" s="908"/>
      <c r="D268" s="908"/>
      <c r="E268" s="908"/>
      <c r="F268" s="908"/>
      <c r="G268" s="908"/>
      <c r="H268" s="908"/>
      <c r="I268" s="908"/>
      <c r="J268" s="1016"/>
      <c r="K268" s="900"/>
      <c r="L268" s="900"/>
    </row>
    <row r="269" spans="1:12" ht="15.75" hidden="1" customHeight="1" outlineLevel="1">
      <c r="A269" s="908"/>
      <c r="B269" s="1559" t="s">
        <v>471</v>
      </c>
      <c r="C269" s="1477"/>
      <c r="D269" s="1477"/>
      <c r="E269" s="1477"/>
      <c r="F269" s="1477"/>
      <c r="G269" s="1477"/>
      <c r="H269" s="1477"/>
      <c r="I269" s="1477"/>
      <c r="J269" s="1478"/>
      <c r="K269" s="900"/>
      <c r="L269" s="900"/>
    </row>
    <row r="270" spans="1:12" ht="20.25" hidden="1" customHeight="1" outlineLevel="1">
      <c r="A270" s="908"/>
      <c r="B270" s="805">
        <v>6</v>
      </c>
      <c r="C270" s="1555" t="s">
        <v>549</v>
      </c>
      <c r="D270" s="1477"/>
      <c r="E270" s="1477"/>
      <c r="F270" s="1477"/>
      <c r="G270" s="1477"/>
      <c r="H270" s="1478"/>
      <c r="I270" s="863" t="s">
        <v>354</v>
      </c>
      <c r="J270" s="864" t="s">
        <v>398</v>
      </c>
      <c r="K270" s="900"/>
      <c r="L270" s="900"/>
    </row>
    <row r="271" spans="1:12" ht="15.75" hidden="1" customHeight="1" outlineLevel="1">
      <c r="A271" s="908"/>
      <c r="B271" s="1560" t="s">
        <v>473</v>
      </c>
      <c r="C271" s="1477"/>
      <c r="D271" s="1477"/>
      <c r="E271" s="1477"/>
      <c r="F271" s="1477"/>
      <c r="G271" s="1477"/>
      <c r="H271" s="1478"/>
      <c r="I271" s="434" t="str">
        <f t="shared" ref="I271:I284" si="17">I163</f>
        <v>-</v>
      </c>
      <c r="J271" s="866">
        <f>J227+J234+J245+J254+J267</f>
        <v>0</v>
      </c>
      <c r="K271" s="900"/>
      <c r="L271" s="900"/>
    </row>
    <row r="272" spans="1:12" ht="15.75" hidden="1" customHeight="1" outlineLevel="1">
      <c r="A272" s="908"/>
      <c r="B272" s="743" t="s">
        <v>312</v>
      </c>
      <c r="C272" s="1561" t="s">
        <v>474</v>
      </c>
      <c r="D272" s="1477"/>
      <c r="E272" s="1477"/>
      <c r="F272" s="1477"/>
      <c r="G272" s="1477"/>
      <c r="H272" s="1478"/>
      <c r="I272" s="868">
        <f t="shared" si="17"/>
        <v>0.06</v>
      </c>
      <c r="J272" s="796">
        <f>ROUND(I272*J271,2)</f>
        <v>0</v>
      </c>
      <c r="K272" s="900"/>
      <c r="L272" s="900"/>
    </row>
    <row r="273" spans="1:12" ht="41.25" hidden="1" customHeight="1" outlineLevel="1">
      <c r="A273" s="908"/>
      <c r="B273" s="1560" t="s">
        <v>475</v>
      </c>
      <c r="C273" s="1477"/>
      <c r="D273" s="1477"/>
      <c r="E273" s="1477"/>
      <c r="F273" s="1477"/>
      <c r="G273" s="1477"/>
      <c r="H273" s="1478"/>
      <c r="I273" s="868" t="str">
        <f t="shared" si="17"/>
        <v>-</v>
      </c>
      <c r="J273" s="866">
        <f>J227+J234+J245+J254+J267+J272</f>
        <v>0</v>
      </c>
      <c r="K273" s="900"/>
      <c r="L273" s="900"/>
    </row>
    <row r="274" spans="1:12" ht="15.75" hidden="1" customHeight="1" outlineLevel="1">
      <c r="A274" s="908"/>
      <c r="B274" s="743" t="s">
        <v>314</v>
      </c>
      <c r="C274" s="1561" t="s">
        <v>251</v>
      </c>
      <c r="D274" s="1477"/>
      <c r="E274" s="1477"/>
      <c r="F274" s="1477"/>
      <c r="G274" s="1477"/>
      <c r="H274" s="1478"/>
      <c r="I274" s="868">
        <f t="shared" si="17"/>
        <v>0.06</v>
      </c>
      <c r="J274" s="796">
        <f>ROUND(I274*J273,2)</f>
        <v>0</v>
      </c>
      <c r="K274" s="900"/>
      <c r="L274" s="900"/>
    </row>
    <row r="275" spans="1:12" ht="49.5" hidden="1" customHeight="1" outlineLevel="1">
      <c r="A275" s="908"/>
      <c r="B275" s="1560" t="s">
        <v>476</v>
      </c>
      <c r="C275" s="1477"/>
      <c r="D275" s="1477"/>
      <c r="E275" s="1477"/>
      <c r="F275" s="1477"/>
      <c r="G275" s="1477"/>
      <c r="H275" s="1478"/>
      <c r="I275" s="868" t="str">
        <f t="shared" si="17"/>
        <v>-</v>
      </c>
      <c r="J275" s="866">
        <f>SUM(J271+J272+J274)</f>
        <v>0</v>
      </c>
      <c r="K275" s="900"/>
      <c r="L275" s="900"/>
    </row>
    <row r="276" spans="1:12" ht="15.75" hidden="1" customHeight="1" outlineLevel="1">
      <c r="A276" s="908"/>
      <c r="B276" s="870" t="s">
        <v>316</v>
      </c>
      <c r="C276" s="1559" t="s">
        <v>477</v>
      </c>
      <c r="D276" s="1477"/>
      <c r="E276" s="1477"/>
      <c r="F276" s="1477"/>
      <c r="G276" s="1477"/>
      <c r="H276" s="1478"/>
      <c r="I276" s="868" t="str">
        <f t="shared" si="17"/>
        <v>-</v>
      </c>
      <c r="J276" s="769" t="s">
        <v>325</v>
      </c>
      <c r="K276" s="900"/>
      <c r="L276" s="900"/>
    </row>
    <row r="277" spans="1:12" ht="43.5" hidden="1" customHeight="1" outlineLevel="1">
      <c r="A277" s="908"/>
      <c r="B277" s="743"/>
      <c r="C277" s="1589" t="s">
        <v>478</v>
      </c>
      <c r="D277" s="1477"/>
      <c r="E277" s="1477"/>
      <c r="F277" s="1477"/>
      <c r="G277" s="1477"/>
      <c r="H277" s="1478"/>
      <c r="I277" s="868" t="str">
        <f t="shared" si="17"/>
        <v>-</v>
      </c>
      <c r="J277" s="769" t="s">
        <v>325</v>
      </c>
      <c r="K277" s="900"/>
      <c r="L277" s="900"/>
    </row>
    <row r="278" spans="1:12" ht="15.75" hidden="1" customHeight="1" outlineLevel="1">
      <c r="A278" s="908"/>
      <c r="B278" s="743"/>
      <c r="C278" s="1590" t="s">
        <v>672</v>
      </c>
      <c r="D278" s="1477"/>
      <c r="E278" s="1477"/>
      <c r="F278" s="1477"/>
      <c r="G278" s="1477"/>
      <c r="H278" s="1478"/>
      <c r="I278" s="868">
        <f t="shared" si="17"/>
        <v>1.6500000000000001E-2</v>
      </c>
      <c r="J278" s="758">
        <f t="shared" ref="J278:J279" si="18">ROUND(($J$275/(1-$I$179))*I278,2)</f>
        <v>0</v>
      </c>
      <c r="K278" s="900"/>
      <c r="L278" s="900"/>
    </row>
    <row r="279" spans="1:12" ht="15.75" hidden="1" customHeight="1" outlineLevel="1">
      <c r="A279" s="908"/>
      <c r="B279" s="743"/>
      <c r="C279" s="1590" t="s">
        <v>673</v>
      </c>
      <c r="D279" s="1477"/>
      <c r="E279" s="1477"/>
      <c r="F279" s="1477"/>
      <c r="G279" s="1477"/>
      <c r="H279" s="1478"/>
      <c r="I279" s="868">
        <f t="shared" si="17"/>
        <v>7.5999999999999998E-2</v>
      </c>
      <c r="J279" s="758">
        <f t="shared" si="18"/>
        <v>0</v>
      </c>
      <c r="K279" s="900"/>
      <c r="L279" s="900"/>
    </row>
    <row r="280" spans="1:12" ht="15.75" hidden="1" customHeight="1" outlineLevel="1">
      <c r="A280" s="908"/>
      <c r="B280" s="743"/>
      <c r="C280" s="1577" t="s">
        <v>674</v>
      </c>
      <c r="D280" s="1477"/>
      <c r="E280" s="1477"/>
      <c r="F280" s="1477"/>
      <c r="G280" s="1477"/>
      <c r="H280" s="1478"/>
      <c r="I280" s="868" t="str">
        <f t="shared" si="17"/>
        <v>-</v>
      </c>
      <c r="J280" s="769" t="s">
        <v>325</v>
      </c>
      <c r="K280" s="900"/>
      <c r="L280" s="900"/>
    </row>
    <row r="281" spans="1:12" ht="15.75" hidden="1" customHeight="1" outlineLevel="1">
      <c r="A281" s="908"/>
      <c r="B281" s="743"/>
      <c r="C281" s="1577" t="s">
        <v>675</v>
      </c>
      <c r="D281" s="1477"/>
      <c r="E281" s="1477"/>
      <c r="F281" s="1477"/>
      <c r="G281" s="1477"/>
      <c r="H281" s="1478"/>
      <c r="I281" s="868" t="str">
        <f t="shared" si="17"/>
        <v>-</v>
      </c>
      <c r="J281" s="769" t="s">
        <v>325</v>
      </c>
      <c r="K281" s="900"/>
      <c r="L281" s="900"/>
    </row>
    <row r="282" spans="1:12" ht="15.75" hidden="1" customHeight="1" outlineLevel="1">
      <c r="A282" s="908"/>
      <c r="B282" s="743"/>
      <c r="C282" s="1577" t="s">
        <v>483</v>
      </c>
      <c r="D282" s="1477"/>
      <c r="E282" s="1477"/>
      <c r="F282" s="1477"/>
      <c r="G282" s="1477"/>
      <c r="H282" s="1477"/>
      <c r="I282" s="868" t="str">
        <f t="shared" si="17"/>
        <v>-</v>
      </c>
      <c r="J282" s="769" t="s">
        <v>325</v>
      </c>
      <c r="K282" s="900"/>
      <c r="L282" s="900"/>
    </row>
    <row r="283" spans="1:12" ht="15.75" hidden="1" customHeight="1" outlineLevel="1">
      <c r="A283" s="908"/>
      <c r="B283" s="743"/>
      <c r="C283" s="1577" t="s">
        <v>484</v>
      </c>
      <c r="D283" s="1477"/>
      <c r="E283" s="1477"/>
      <c r="F283" s="1477"/>
      <c r="G283" s="1477"/>
      <c r="H283" s="1477"/>
      <c r="I283" s="868" t="str">
        <f t="shared" si="17"/>
        <v>-</v>
      </c>
      <c r="J283" s="769" t="s">
        <v>325</v>
      </c>
      <c r="K283" s="900"/>
      <c r="L283" s="900"/>
    </row>
    <row r="284" spans="1:12" ht="15.75" hidden="1" customHeight="1" outlineLevel="1">
      <c r="A284" s="908"/>
      <c r="B284" s="743"/>
      <c r="C284" s="1577" t="s">
        <v>485</v>
      </c>
      <c r="D284" s="1477"/>
      <c r="E284" s="1477"/>
      <c r="F284" s="1477"/>
      <c r="G284" s="1477"/>
      <c r="H284" s="1478"/>
      <c r="I284" s="868">
        <f t="shared" si="17"/>
        <v>0.02</v>
      </c>
      <c r="J284" s="758">
        <f>ROUND(($J$275/(1-$I$179))*I284,2)</f>
        <v>0</v>
      </c>
      <c r="K284" s="900"/>
      <c r="L284" s="900"/>
    </row>
    <row r="285" spans="1:12" ht="15.75" hidden="1" customHeight="1" outlineLevel="1">
      <c r="A285" s="908"/>
      <c r="B285" s="1585" t="s">
        <v>441</v>
      </c>
      <c r="C285" s="1477"/>
      <c r="D285" s="1477"/>
      <c r="E285" s="1477"/>
      <c r="F285" s="1477"/>
      <c r="G285" s="1477"/>
      <c r="H285" s="1477"/>
      <c r="I285" s="1478"/>
      <c r="J285" s="788">
        <f>SUM(J272+J274+J278+J279+J284)</f>
        <v>0</v>
      </c>
      <c r="K285" s="900"/>
      <c r="L285" s="900"/>
    </row>
    <row r="286" spans="1:12" ht="15.75" hidden="1" customHeight="1" outlineLevel="1">
      <c r="A286" s="908"/>
      <c r="B286" s="908"/>
      <c r="C286" s="908"/>
      <c r="D286" s="908"/>
      <c r="E286" s="908"/>
      <c r="F286" s="908"/>
      <c r="G286" s="908"/>
      <c r="H286" s="908"/>
      <c r="I286" s="908"/>
      <c r="J286" s="1016"/>
      <c r="K286" s="900"/>
      <c r="L286" s="900"/>
    </row>
    <row r="287" spans="1:12" ht="15.75" hidden="1" customHeight="1" outlineLevel="1">
      <c r="A287" s="908"/>
      <c r="B287" s="1572" t="s">
        <v>554</v>
      </c>
      <c r="C287" s="1477"/>
      <c r="D287" s="1477"/>
      <c r="E287" s="1477"/>
      <c r="F287" s="1477"/>
      <c r="G287" s="1477"/>
      <c r="H287" s="1477"/>
      <c r="I287" s="1478"/>
      <c r="J287" s="1012" t="s">
        <v>390</v>
      </c>
      <c r="K287" s="900"/>
      <c r="L287" s="900"/>
    </row>
    <row r="288" spans="1:12" ht="15.75" hidden="1" customHeight="1" outlineLevel="1">
      <c r="A288" s="908"/>
      <c r="B288" s="880" t="s">
        <v>312</v>
      </c>
      <c r="C288" s="1599" t="s">
        <v>494</v>
      </c>
      <c r="D288" s="1477"/>
      <c r="E288" s="1477"/>
      <c r="F288" s="1477"/>
      <c r="G288" s="1477"/>
      <c r="H288" s="1477"/>
      <c r="I288" s="1477"/>
      <c r="J288" s="881">
        <f>J227</f>
        <v>0</v>
      </c>
      <c r="K288" s="900"/>
      <c r="L288" s="900"/>
    </row>
    <row r="289" spans="1:12" ht="15.75" hidden="1" customHeight="1" outlineLevel="1">
      <c r="A289" s="908"/>
      <c r="B289" s="880" t="s">
        <v>314</v>
      </c>
      <c r="C289" s="1599" t="s">
        <v>495</v>
      </c>
      <c r="D289" s="1477"/>
      <c r="E289" s="1477"/>
      <c r="F289" s="1477"/>
      <c r="G289" s="1477"/>
      <c r="H289" s="1477"/>
      <c r="I289" s="1477"/>
      <c r="J289" s="881">
        <f>J234+J245</f>
        <v>0</v>
      </c>
      <c r="K289" s="900"/>
      <c r="L289" s="900"/>
    </row>
    <row r="290" spans="1:12" ht="15.75" hidden="1" customHeight="1" outlineLevel="1">
      <c r="A290" s="908"/>
      <c r="B290" s="880" t="s">
        <v>316</v>
      </c>
      <c r="C290" s="1599" t="s">
        <v>496</v>
      </c>
      <c r="D290" s="1477"/>
      <c r="E290" s="1477"/>
      <c r="F290" s="1477"/>
      <c r="G290" s="1477"/>
      <c r="H290" s="1477"/>
      <c r="I290" s="1477"/>
      <c r="J290" s="881">
        <f>J254</f>
        <v>0</v>
      </c>
      <c r="K290" s="900"/>
      <c r="L290" s="900"/>
    </row>
    <row r="291" spans="1:12" ht="15.75" hidden="1" customHeight="1" outlineLevel="1">
      <c r="A291" s="908"/>
      <c r="B291" s="880" t="s">
        <v>318</v>
      </c>
      <c r="C291" s="1599" t="s">
        <v>497</v>
      </c>
      <c r="D291" s="1477"/>
      <c r="E291" s="1477"/>
      <c r="F291" s="1477"/>
      <c r="G291" s="1477"/>
      <c r="H291" s="1477"/>
      <c r="I291" s="1477"/>
      <c r="J291" s="881">
        <f>J267</f>
        <v>0</v>
      </c>
      <c r="K291" s="900"/>
      <c r="L291" s="900"/>
    </row>
    <row r="292" spans="1:12" ht="15.75" hidden="1" customHeight="1" outlineLevel="1">
      <c r="A292" s="908"/>
      <c r="B292" s="880" t="s">
        <v>360</v>
      </c>
      <c r="C292" s="1599" t="s">
        <v>498</v>
      </c>
      <c r="D292" s="1477"/>
      <c r="E292" s="1477"/>
      <c r="F292" s="1477"/>
      <c r="G292" s="1477"/>
      <c r="H292" s="1477"/>
      <c r="I292" s="1477"/>
      <c r="J292" s="881">
        <v>0</v>
      </c>
      <c r="K292" s="900"/>
      <c r="L292" s="900"/>
    </row>
    <row r="293" spans="1:12" ht="15.75" hidden="1" customHeight="1" outlineLevel="1">
      <c r="A293" s="908"/>
      <c r="B293" s="1600" t="s">
        <v>499</v>
      </c>
      <c r="C293" s="1477"/>
      <c r="D293" s="1477"/>
      <c r="E293" s="1477"/>
      <c r="F293" s="1477"/>
      <c r="G293" s="1477"/>
      <c r="H293" s="1477"/>
      <c r="I293" s="1521"/>
      <c r="J293" s="857">
        <f>SUM(J288:J292)</f>
        <v>0</v>
      </c>
      <c r="K293" s="900"/>
      <c r="L293" s="900"/>
    </row>
    <row r="294" spans="1:12" ht="15.75" hidden="1" customHeight="1" outlineLevel="1">
      <c r="A294" s="908"/>
      <c r="B294" s="882" t="s">
        <v>364</v>
      </c>
      <c r="C294" s="1599" t="s">
        <v>471</v>
      </c>
      <c r="D294" s="1477"/>
      <c r="E294" s="1477"/>
      <c r="F294" s="1477"/>
      <c r="G294" s="1477"/>
      <c r="H294" s="1477"/>
      <c r="I294" s="1477"/>
      <c r="J294" s="881">
        <f>J285</f>
        <v>0</v>
      </c>
      <c r="K294" s="900"/>
      <c r="L294" s="900"/>
    </row>
    <row r="295" spans="1:12" ht="15.75" hidden="1" customHeight="1" outlineLevel="1">
      <c r="A295" s="908"/>
      <c r="B295" s="1601" t="s">
        <v>555</v>
      </c>
      <c r="C295" s="1477"/>
      <c r="D295" s="1477"/>
      <c r="E295" s="1477"/>
      <c r="F295" s="1477"/>
      <c r="G295" s="1477"/>
      <c r="H295" s="1477"/>
      <c r="I295" s="1521"/>
      <c r="J295" s="928">
        <f>J293+J294</f>
        <v>0</v>
      </c>
      <c r="K295" s="897" t="s">
        <v>556</v>
      </c>
      <c r="L295" s="897" t="str">
        <f>L203</f>
        <v>5162_20_CUIDADOR-de-ALUNOS_20h</v>
      </c>
    </row>
    <row r="296" spans="1:12" ht="15.75" hidden="1" customHeight="1" outlineLevel="1">
      <c r="A296" s="908"/>
      <c r="B296" s="908"/>
      <c r="C296" s="908"/>
      <c r="D296" s="908"/>
      <c r="E296" s="908"/>
      <c r="F296" s="908"/>
      <c r="G296" s="908"/>
      <c r="H296" s="908"/>
      <c r="I296" s="908"/>
      <c r="J296" s="1016"/>
      <c r="K296" s="900"/>
      <c r="L296" s="900"/>
    </row>
    <row r="297" spans="1:12" ht="41" hidden="1" outlineLevel="1">
      <c r="A297" s="908"/>
      <c r="B297" s="929" t="s">
        <v>557</v>
      </c>
      <c r="C297" s="906"/>
      <c r="D297" s="906"/>
      <c r="E297" s="906"/>
      <c r="F297" s="906"/>
      <c r="G297" s="1023" t="str">
        <f>G219</f>
        <v>5162_20_CUIDADOR-de-ALUNOS_20h</v>
      </c>
      <c r="H297" s="906"/>
      <c r="I297" s="906"/>
      <c r="J297" s="1018"/>
      <c r="K297" s="900"/>
      <c r="L297" s="900"/>
    </row>
    <row r="298" spans="1:12" ht="15.75" hidden="1" customHeight="1" outlineLevel="1">
      <c r="A298" s="908"/>
      <c r="B298" s="931"/>
      <c r="C298" s="931"/>
      <c r="D298" s="931"/>
      <c r="E298" s="931"/>
      <c r="F298" s="931"/>
      <c r="G298" s="931"/>
      <c r="H298" s="931"/>
      <c r="I298" s="931"/>
      <c r="J298" s="1024"/>
      <c r="K298" s="900"/>
      <c r="L298" s="900"/>
    </row>
    <row r="299" spans="1:12" ht="15.75" hidden="1" customHeight="1" outlineLevel="1">
      <c r="A299" s="908"/>
      <c r="B299" s="1602" t="s">
        <v>410</v>
      </c>
      <c r="C299" s="1477"/>
      <c r="D299" s="1477"/>
      <c r="E299" s="1477"/>
      <c r="F299" s="1477"/>
      <c r="G299" s="1477"/>
      <c r="H299" s="1477"/>
      <c r="I299" s="1477"/>
      <c r="J299" s="1478"/>
      <c r="K299" s="900"/>
      <c r="L299" s="900"/>
    </row>
    <row r="300" spans="1:12" ht="28.5" hidden="1" customHeight="1" outlineLevel="1">
      <c r="A300" s="908"/>
      <c r="B300" s="805" t="s">
        <v>411</v>
      </c>
      <c r="C300" s="1603" t="s">
        <v>558</v>
      </c>
      <c r="D300" s="1477"/>
      <c r="E300" s="1477"/>
      <c r="F300" s="1477"/>
      <c r="G300" s="1477"/>
      <c r="H300" s="1477"/>
      <c r="I300" s="1478"/>
      <c r="J300" s="864" t="s">
        <v>390</v>
      </c>
      <c r="K300" s="900"/>
      <c r="L300" s="900"/>
    </row>
    <row r="301" spans="1:12" ht="51.75" hidden="1" customHeight="1" outlineLevel="1">
      <c r="A301" s="908"/>
      <c r="B301" s="932" t="s">
        <v>559</v>
      </c>
      <c r="C301" s="932" t="s">
        <v>560</v>
      </c>
      <c r="D301" s="933" t="s">
        <v>561</v>
      </c>
      <c r="E301" s="932" t="s">
        <v>562</v>
      </c>
      <c r="F301" s="934" t="s">
        <v>563</v>
      </c>
      <c r="G301" s="932" t="s">
        <v>564</v>
      </c>
      <c r="H301" s="935" t="s">
        <v>565</v>
      </c>
      <c r="I301" s="936"/>
      <c r="J301" s="1025"/>
      <c r="K301" s="900"/>
      <c r="L301" s="900"/>
    </row>
    <row r="302" spans="1:12" ht="51.75" hidden="1" customHeight="1" outlineLevel="1">
      <c r="A302" s="908"/>
      <c r="B302" s="1604" t="s">
        <v>566</v>
      </c>
      <c r="C302" s="938" t="s">
        <v>567</v>
      </c>
      <c r="D302" s="939">
        <v>425</v>
      </c>
      <c r="E302" s="940" t="s">
        <v>568</v>
      </c>
      <c r="F302" s="941">
        <v>380</v>
      </c>
      <c r="G302" s="942" t="s">
        <v>569</v>
      </c>
      <c r="H302" s="943">
        <v>335</v>
      </c>
      <c r="I302" s="944"/>
      <c r="J302" s="945">
        <f>(D302*D303)+(F302*F303)+(H302*H303)</f>
        <v>0</v>
      </c>
      <c r="K302" s="900"/>
      <c r="L302" s="900"/>
    </row>
    <row r="303" spans="1:12" ht="51.75" hidden="1" customHeight="1" outlineLevel="1">
      <c r="A303" s="908"/>
      <c r="B303" s="1605"/>
      <c r="C303" s="946" t="s">
        <v>570</v>
      </c>
      <c r="D303" s="947">
        <v>0</v>
      </c>
      <c r="E303" s="946" t="s">
        <v>571</v>
      </c>
      <c r="F303" s="947">
        <v>0</v>
      </c>
      <c r="G303" s="946" t="s">
        <v>572</v>
      </c>
      <c r="H303" s="948">
        <v>0</v>
      </c>
      <c r="I303" s="949"/>
      <c r="J303" s="950"/>
      <c r="K303" s="900"/>
      <c r="L303" s="900"/>
    </row>
    <row r="304" spans="1:12" ht="30" hidden="1" customHeight="1" outlineLevel="1">
      <c r="A304" s="908"/>
      <c r="B304" s="1026"/>
      <c r="C304" s="1585" t="s">
        <v>393</v>
      </c>
      <c r="D304" s="1477"/>
      <c r="E304" s="1477"/>
      <c r="F304" s="1477"/>
      <c r="G304" s="1477"/>
      <c r="H304" s="1477"/>
      <c r="I304" s="1521"/>
      <c r="J304" s="788">
        <f>J302</f>
        <v>0</v>
      </c>
      <c r="K304" s="900"/>
      <c r="L304" s="900"/>
    </row>
    <row r="305" spans="1:12" ht="15.75" hidden="1" customHeight="1" outlineLevel="1">
      <c r="A305" s="908"/>
      <c r="B305" s="908"/>
      <c r="C305" s="908"/>
      <c r="D305" s="908"/>
      <c r="E305" s="908"/>
      <c r="F305" s="908"/>
      <c r="G305" s="908"/>
      <c r="H305" s="908"/>
      <c r="I305" s="908"/>
      <c r="J305" s="1016"/>
      <c r="K305" s="900"/>
      <c r="L305" s="900"/>
    </row>
    <row r="306" spans="1:12" ht="15.75" hidden="1" customHeight="1" outlineLevel="1">
      <c r="A306" s="908"/>
      <c r="B306" s="805">
        <v>6</v>
      </c>
      <c r="C306" s="1555" t="s">
        <v>676</v>
      </c>
      <c r="D306" s="1477"/>
      <c r="E306" s="1477"/>
      <c r="F306" s="1477"/>
      <c r="G306" s="1477"/>
      <c r="H306" s="1478"/>
      <c r="I306" s="863" t="s">
        <v>354</v>
      </c>
      <c r="J306" s="864" t="s">
        <v>398</v>
      </c>
      <c r="K306" s="900"/>
      <c r="L306" s="900"/>
    </row>
    <row r="307" spans="1:12" ht="14.5" hidden="1" outlineLevel="1">
      <c r="A307" s="908"/>
      <c r="B307" s="1560" t="s">
        <v>473</v>
      </c>
      <c r="C307" s="1477"/>
      <c r="D307" s="1477"/>
      <c r="E307" s="1477"/>
      <c r="F307" s="1477"/>
      <c r="G307" s="1477"/>
      <c r="H307" s="1478"/>
      <c r="I307" s="434" t="str">
        <f t="shared" ref="I307:I320" si="19">I271</f>
        <v>-</v>
      </c>
      <c r="J307" s="866">
        <f>J304</f>
        <v>0</v>
      </c>
      <c r="K307" s="900"/>
      <c r="L307" s="900"/>
    </row>
    <row r="308" spans="1:12" ht="15.75" hidden="1" customHeight="1" outlineLevel="1">
      <c r="A308" s="908"/>
      <c r="B308" s="743" t="s">
        <v>312</v>
      </c>
      <c r="C308" s="1561" t="s">
        <v>474</v>
      </c>
      <c r="D308" s="1477"/>
      <c r="E308" s="1477"/>
      <c r="F308" s="1477"/>
      <c r="G308" s="1477"/>
      <c r="H308" s="1478"/>
      <c r="I308" s="868">
        <f t="shared" si="19"/>
        <v>0.06</v>
      </c>
      <c r="J308" s="796">
        <f>ROUND(I308*J307,2)</f>
        <v>0</v>
      </c>
      <c r="K308" s="900"/>
      <c r="L308" s="900"/>
    </row>
    <row r="309" spans="1:12" ht="14.5" hidden="1" outlineLevel="1">
      <c r="A309" s="908"/>
      <c r="B309" s="1560" t="s">
        <v>475</v>
      </c>
      <c r="C309" s="1477"/>
      <c r="D309" s="1477"/>
      <c r="E309" s="1477"/>
      <c r="F309" s="1477"/>
      <c r="G309" s="1477"/>
      <c r="H309" s="1478"/>
      <c r="I309" s="868" t="str">
        <f t="shared" si="19"/>
        <v>-</v>
      </c>
      <c r="J309" s="866">
        <f>J307+J308</f>
        <v>0</v>
      </c>
      <c r="K309" s="900"/>
      <c r="L309" s="900"/>
    </row>
    <row r="310" spans="1:12" ht="72.75" hidden="1" customHeight="1" outlineLevel="1">
      <c r="A310" s="908"/>
      <c r="B310" s="743" t="s">
        <v>314</v>
      </c>
      <c r="C310" s="1561" t="s">
        <v>251</v>
      </c>
      <c r="D310" s="1477"/>
      <c r="E310" s="1477"/>
      <c r="F310" s="1477"/>
      <c r="G310" s="1477"/>
      <c r="H310" s="1478"/>
      <c r="I310" s="868">
        <f t="shared" si="19"/>
        <v>0.06</v>
      </c>
      <c r="J310" s="796">
        <f>ROUND(I310*J309,2)</f>
        <v>0</v>
      </c>
      <c r="K310" s="900"/>
      <c r="L310" s="900"/>
    </row>
    <row r="311" spans="1:12" ht="14.5" hidden="1" outlineLevel="1">
      <c r="A311" s="908"/>
      <c r="B311" s="1560" t="s">
        <v>476</v>
      </c>
      <c r="C311" s="1477"/>
      <c r="D311" s="1477"/>
      <c r="E311" s="1477"/>
      <c r="F311" s="1477"/>
      <c r="G311" s="1477"/>
      <c r="H311" s="1478"/>
      <c r="I311" s="868" t="str">
        <f t="shared" si="19"/>
        <v>-</v>
      </c>
      <c r="J311" s="866">
        <f>SUM(J307+J308+J310)</f>
        <v>0</v>
      </c>
      <c r="K311" s="900"/>
      <c r="L311" s="900"/>
    </row>
    <row r="312" spans="1:12" ht="15.75" hidden="1" customHeight="1" outlineLevel="1">
      <c r="A312" s="908"/>
      <c r="B312" s="870" t="s">
        <v>316</v>
      </c>
      <c r="C312" s="1559" t="s">
        <v>477</v>
      </c>
      <c r="D312" s="1477"/>
      <c r="E312" s="1477"/>
      <c r="F312" s="1477"/>
      <c r="G312" s="1477"/>
      <c r="H312" s="1478"/>
      <c r="I312" s="868" t="str">
        <f t="shared" si="19"/>
        <v>-</v>
      </c>
      <c r="J312" s="769" t="s">
        <v>325</v>
      </c>
      <c r="K312" s="900"/>
      <c r="L312" s="900"/>
    </row>
    <row r="313" spans="1:12" ht="21" hidden="1" customHeight="1" outlineLevel="1">
      <c r="A313" s="908"/>
      <c r="B313" s="743"/>
      <c r="C313" s="1589" t="s">
        <v>478</v>
      </c>
      <c r="D313" s="1477"/>
      <c r="E313" s="1477"/>
      <c r="F313" s="1477"/>
      <c r="G313" s="1477"/>
      <c r="H313" s="1478"/>
      <c r="I313" s="868" t="str">
        <f t="shared" si="19"/>
        <v>-</v>
      </c>
      <c r="J313" s="769" t="s">
        <v>325</v>
      </c>
      <c r="K313" s="900"/>
      <c r="L313" s="900"/>
    </row>
    <row r="314" spans="1:12" ht="15.75" hidden="1" customHeight="1" outlineLevel="1">
      <c r="A314" s="908"/>
      <c r="B314" s="743"/>
      <c r="C314" s="1590" t="s">
        <v>677</v>
      </c>
      <c r="D314" s="1477"/>
      <c r="E314" s="1477"/>
      <c r="F314" s="1477"/>
      <c r="G314" s="1477"/>
      <c r="H314" s="1478"/>
      <c r="I314" s="868">
        <f t="shared" si="19"/>
        <v>1.6500000000000001E-2</v>
      </c>
      <c r="J314" s="758">
        <f t="shared" ref="J314:J315" si="20">ROUND(($J$311/(1-$I$179))*I314,2)</f>
        <v>0</v>
      </c>
      <c r="K314" s="900"/>
      <c r="L314" s="900"/>
    </row>
    <row r="315" spans="1:12" ht="27.75" hidden="1" customHeight="1" outlineLevel="1">
      <c r="A315" s="908"/>
      <c r="B315" s="743"/>
      <c r="C315" s="1590" t="s">
        <v>678</v>
      </c>
      <c r="D315" s="1477"/>
      <c r="E315" s="1477"/>
      <c r="F315" s="1477"/>
      <c r="G315" s="1477"/>
      <c r="H315" s="1478"/>
      <c r="I315" s="868">
        <f t="shared" si="19"/>
        <v>7.5999999999999998E-2</v>
      </c>
      <c r="J315" s="758">
        <f t="shared" si="20"/>
        <v>0</v>
      </c>
      <c r="K315" s="900"/>
      <c r="L315" s="900"/>
    </row>
    <row r="316" spans="1:12" ht="27.75" hidden="1" customHeight="1" outlineLevel="1">
      <c r="A316" s="908"/>
      <c r="B316" s="743"/>
      <c r="C316" s="1577" t="s">
        <v>679</v>
      </c>
      <c r="D316" s="1477"/>
      <c r="E316" s="1477"/>
      <c r="F316" s="1477"/>
      <c r="G316" s="1477"/>
      <c r="H316" s="1478"/>
      <c r="I316" s="868" t="str">
        <f t="shared" si="19"/>
        <v>-</v>
      </c>
      <c r="J316" s="951" t="s">
        <v>325</v>
      </c>
      <c r="K316" s="952"/>
      <c r="L316" s="953"/>
    </row>
    <row r="317" spans="1:12" ht="27.75" hidden="1" customHeight="1" outlineLevel="1">
      <c r="A317" s="908"/>
      <c r="B317" s="743"/>
      <c r="C317" s="1577" t="s">
        <v>680</v>
      </c>
      <c r="D317" s="1477"/>
      <c r="E317" s="1477"/>
      <c r="F317" s="1477"/>
      <c r="G317" s="1477"/>
      <c r="H317" s="1478"/>
      <c r="I317" s="868" t="str">
        <f t="shared" si="19"/>
        <v>-</v>
      </c>
      <c r="J317" s="769" t="s">
        <v>325</v>
      </c>
      <c r="K317" s="900"/>
      <c r="L317" s="900"/>
    </row>
    <row r="318" spans="1:12" ht="29.25" hidden="1" customHeight="1" outlineLevel="1">
      <c r="A318" s="908"/>
      <c r="B318" s="743"/>
      <c r="C318" s="1577" t="s">
        <v>483</v>
      </c>
      <c r="D318" s="1477"/>
      <c r="E318" s="1477"/>
      <c r="F318" s="1477"/>
      <c r="G318" s="1477"/>
      <c r="H318" s="1477"/>
      <c r="I318" s="868" t="str">
        <f t="shared" si="19"/>
        <v>-</v>
      </c>
      <c r="J318" s="769" t="s">
        <v>325</v>
      </c>
      <c r="K318" s="900"/>
      <c r="L318" s="900"/>
    </row>
    <row r="319" spans="1:12" ht="27.75" hidden="1" customHeight="1" outlineLevel="1">
      <c r="A319" s="1027"/>
      <c r="B319" s="743"/>
      <c r="C319" s="1577" t="s">
        <v>484</v>
      </c>
      <c r="D319" s="1477"/>
      <c r="E319" s="1477"/>
      <c r="F319" s="1477"/>
      <c r="G319" s="1477"/>
      <c r="H319" s="1477"/>
      <c r="I319" s="868" t="str">
        <f t="shared" si="19"/>
        <v>-</v>
      </c>
      <c r="J319" s="769" t="s">
        <v>325</v>
      </c>
      <c r="K319" s="900"/>
      <c r="L319" s="900"/>
    </row>
    <row r="320" spans="1:12" ht="14.25" hidden="1" customHeight="1" outlineLevel="1">
      <c r="A320" s="1027"/>
      <c r="B320" s="743"/>
      <c r="C320" s="1577" t="s">
        <v>485</v>
      </c>
      <c r="D320" s="1477"/>
      <c r="E320" s="1477"/>
      <c r="F320" s="1477"/>
      <c r="G320" s="1477"/>
      <c r="H320" s="1478"/>
      <c r="I320" s="868">
        <f t="shared" si="19"/>
        <v>0.02</v>
      </c>
      <c r="J320" s="758">
        <f>ROUND(($J$311/(1-$I$179))*I320,2)</f>
        <v>0</v>
      </c>
      <c r="K320" s="900"/>
      <c r="L320" s="900"/>
    </row>
    <row r="321" spans="1:12" ht="15.75" hidden="1" customHeight="1" outlineLevel="1">
      <c r="A321" s="908"/>
      <c r="B321" s="1585" t="s">
        <v>441</v>
      </c>
      <c r="C321" s="1477"/>
      <c r="D321" s="1477"/>
      <c r="E321" s="1477"/>
      <c r="F321" s="1477"/>
      <c r="G321" s="1477"/>
      <c r="H321" s="1477"/>
      <c r="I321" s="1478"/>
      <c r="J321" s="788">
        <f>SUM(J308+J310+J314+J315+J320)</f>
        <v>0</v>
      </c>
      <c r="K321" s="900"/>
      <c r="L321" s="900"/>
    </row>
    <row r="322" spans="1:12" ht="15.75" hidden="1" customHeight="1" outlineLevel="1">
      <c r="A322" s="908"/>
      <c r="B322" s="908"/>
      <c r="C322" s="908"/>
      <c r="D322" s="908"/>
      <c r="E322" s="908"/>
      <c r="F322" s="908"/>
      <c r="G322" s="908"/>
      <c r="H322" s="908"/>
      <c r="I322" s="908"/>
      <c r="J322" s="1016"/>
      <c r="K322" s="900"/>
      <c r="L322" s="900"/>
    </row>
    <row r="323" spans="1:12" ht="28.5" hidden="1" customHeight="1" outlineLevel="1">
      <c r="A323" s="908"/>
      <c r="B323" s="1572" t="s">
        <v>577</v>
      </c>
      <c r="C323" s="1477"/>
      <c r="D323" s="1477"/>
      <c r="E323" s="1477"/>
      <c r="F323" s="1477"/>
      <c r="G323" s="1477"/>
      <c r="H323" s="1477"/>
      <c r="I323" s="1478"/>
      <c r="J323" s="1012" t="s">
        <v>390</v>
      </c>
      <c r="K323" s="900"/>
      <c r="L323" s="900"/>
    </row>
    <row r="324" spans="1:12" ht="19.5" hidden="1" customHeight="1" outlineLevel="1">
      <c r="A324" s="908"/>
      <c r="B324" s="880" t="s">
        <v>312</v>
      </c>
      <c r="C324" s="1599" t="s">
        <v>494</v>
      </c>
      <c r="D324" s="1477"/>
      <c r="E324" s="1477"/>
      <c r="F324" s="1477"/>
      <c r="G324" s="1477"/>
      <c r="H324" s="1477"/>
      <c r="I324" s="1477"/>
      <c r="J324" s="881">
        <v>0</v>
      </c>
      <c r="K324" s="900"/>
      <c r="L324" s="900"/>
    </row>
    <row r="325" spans="1:12" ht="19.5" hidden="1" customHeight="1" outlineLevel="1">
      <c r="A325" s="908"/>
      <c r="B325" s="880" t="s">
        <v>314</v>
      </c>
      <c r="C325" s="1599" t="s">
        <v>578</v>
      </c>
      <c r="D325" s="1477"/>
      <c r="E325" s="1477"/>
      <c r="F325" s="1477"/>
      <c r="G325" s="1477"/>
      <c r="H325" s="1477"/>
      <c r="I325" s="1477"/>
      <c r="J325" s="881">
        <f>J304</f>
        <v>0</v>
      </c>
      <c r="K325" s="900"/>
      <c r="L325" s="900"/>
    </row>
    <row r="326" spans="1:12" ht="19.5" hidden="1" customHeight="1" outlineLevel="1">
      <c r="A326" s="908"/>
      <c r="B326" s="880" t="s">
        <v>316</v>
      </c>
      <c r="C326" s="1599" t="s">
        <v>496</v>
      </c>
      <c r="D326" s="1477"/>
      <c r="E326" s="1477"/>
      <c r="F326" s="1477"/>
      <c r="G326" s="1477"/>
      <c r="H326" s="1477"/>
      <c r="I326" s="1477"/>
      <c r="J326" s="881">
        <v>0</v>
      </c>
      <c r="K326" s="900"/>
      <c r="L326" s="900"/>
    </row>
    <row r="327" spans="1:12" ht="19.5" hidden="1" customHeight="1" outlineLevel="1">
      <c r="A327" s="908"/>
      <c r="B327" s="880" t="s">
        <v>318</v>
      </c>
      <c r="C327" s="1599" t="s">
        <v>497</v>
      </c>
      <c r="D327" s="1477"/>
      <c r="E327" s="1477"/>
      <c r="F327" s="1477"/>
      <c r="G327" s="1477"/>
      <c r="H327" s="1477"/>
      <c r="I327" s="1477"/>
      <c r="J327" s="881">
        <v>0</v>
      </c>
      <c r="K327" s="900"/>
      <c r="L327" s="900"/>
    </row>
    <row r="328" spans="1:12" ht="19.5" hidden="1" customHeight="1" outlineLevel="1">
      <c r="A328" s="908"/>
      <c r="B328" s="880" t="s">
        <v>360</v>
      </c>
      <c r="C328" s="1599" t="s">
        <v>498</v>
      </c>
      <c r="D328" s="1477"/>
      <c r="E328" s="1477"/>
      <c r="F328" s="1477"/>
      <c r="G328" s="1477"/>
      <c r="H328" s="1477"/>
      <c r="I328" s="1477"/>
      <c r="J328" s="881">
        <v>0</v>
      </c>
      <c r="K328" s="900"/>
      <c r="L328" s="900"/>
    </row>
    <row r="329" spans="1:12" ht="15.75" hidden="1" customHeight="1" outlineLevel="1">
      <c r="A329" s="908"/>
      <c r="B329" s="1600" t="s">
        <v>499</v>
      </c>
      <c r="C329" s="1477"/>
      <c r="D329" s="1477"/>
      <c r="E329" s="1477"/>
      <c r="F329" s="1477"/>
      <c r="G329" s="1477"/>
      <c r="H329" s="1477"/>
      <c r="I329" s="1521"/>
      <c r="J329" s="857">
        <f>SUM(J324:J328)</f>
        <v>0</v>
      </c>
      <c r="K329" s="900"/>
      <c r="L329" s="900"/>
    </row>
    <row r="330" spans="1:12" ht="15.75" hidden="1" customHeight="1" outlineLevel="1">
      <c r="A330" s="908"/>
      <c r="B330" s="882" t="s">
        <v>364</v>
      </c>
      <c r="C330" s="1599" t="s">
        <v>471</v>
      </c>
      <c r="D330" s="1477"/>
      <c r="E330" s="1477"/>
      <c r="F330" s="1477"/>
      <c r="G330" s="1477"/>
      <c r="H330" s="1477"/>
      <c r="I330" s="1477"/>
      <c r="J330" s="881">
        <f>J321</f>
        <v>0</v>
      </c>
      <c r="K330" s="900"/>
      <c r="L330" s="900"/>
    </row>
    <row r="331" spans="1:12" ht="15.75" hidden="1" customHeight="1" outlineLevel="1">
      <c r="A331" s="908"/>
      <c r="B331" s="1600" t="s">
        <v>579</v>
      </c>
      <c r="C331" s="1477"/>
      <c r="D331" s="1477"/>
      <c r="E331" s="1477"/>
      <c r="F331" s="1477"/>
      <c r="G331" s="1477"/>
      <c r="H331" s="1477"/>
      <c r="I331" s="1521"/>
      <c r="J331" s="954">
        <f>ROUND(J325+J321,2)</f>
        <v>0</v>
      </c>
      <c r="K331" s="897" t="s">
        <v>580</v>
      </c>
      <c r="L331" s="897" t="str">
        <f>L295</f>
        <v>5162_20_CUIDADOR-de-ALUNOS_20h</v>
      </c>
    </row>
    <row r="332" spans="1:12" ht="15.75" hidden="1" customHeight="1" outlineLevel="1">
      <c r="A332" s="908"/>
      <c r="B332" s="908"/>
      <c r="C332" s="908"/>
      <c r="D332" s="908"/>
      <c r="E332" s="908"/>
      <c r="F332" s="908"/>
      <c r="G332" s="908"/>
      <c r="H332" s="908"/>
      <c r="I332" s="908"/>
      <c r="J332" s="1016"/>
      <c r="K332" s="900"/>
      <c r="L332" s="900"/>
    </row>
    <row r="333" spans="1:12" ht="15.75" hidden="1" customHeight="1" outlineLevel="1">
      <c r="A333" s="908"/>
      <c r="B333" s="1606" t="s">
        <v>581</v>
      </c>
      <c r="C333" s="1477"/>
      <c r="D333" s="1477"/>
      <c r="E333" s="1477"/>
      <c r="F333" s="1477"/>
      <c r="G333" s="1477"/>
      <c r="H333" s="1477"/>
      <c r="I333" s="1477"/>
      <c r="J333" s="1478"/>
      <c r="K333" s="900"/>
      <c r="L333" s="900"/>
    </row>
    <row r="334" spans="1:12" ht="105.75" hidden="1" customHeight="1" outlineLevel="1">
      <c r="A334" s="908"/>
      <c r="B334" s="1607" t="s">
        <v>503</v>
      </c>
      <c r="C334" s="1575"/>
      <c r="D334" s="1575"/>
      <c r="E334" s="1608"/>
      <c r="F334" s="955" t="s">
        <v>582</v>
      </c>
      <c r="G334" s="956" t="s">
        <v>681</v>
      </c>
      <c r="H334" s="957" t="s">
        <v>506</v>
      </c>
      <c r="I334" s="1607" t="s">
        <v>507</v>
      </c>
      <c r="J334" s="1608"/>
      <c r="K334" s="900"/>
      <c r="L334" s="900"/>
    </row>
    <row r="335" spans="1:12" ht="32.25" hidden="1" customHeight="1" outlineLevel="1">
      <c r="A335" s="908"/>
      <c r="B335" s="1609" t="str">
        <f>B203</f>
        <v>5162_20_CUIDADOR-de-ALUNOS_20h</v>
      </c>
      <c r="C335" s="1477"/>
      <c r="D335" s="1477"/>
      <c r="E335" s="1478"/>
      <c r="F335" s="958">
        <f>J331</f>
        <v>0</v>
      </c>
      <c r="G335" s="959">
        <f>G203</f>
        <v>1</v>
      </c>
      <c r="H335" s="960">
        <f>H207</f>
        <v>0</v>
      </c>
      <c r="I335" s="1610">
        <f>F335*G335</f>
        <v>0</v>
      </c>
      <c r="J335" s="1478"/>
      <c r="K335" s="900"/>
      <c r="L335" s="900"/>
    </row>
    <row r="336" spans="1:12" ht="15.75" hidden="1" customHeight="1" outlineLevel="1">
      <c r="A336" s="908"/>
      <c r="B336" s="1562"/>
      <c r="C336" s="1477"/>
      <c r="D336" s="1477"/>
      <c r="E336" s="1477"/>
      <c r="F336" s="1477"/>
      <c r="G336" s="1477"/>
      <c r="H336" s="1477"/>
      <c r="I336" s="1477"/>
      <c r="J336" s="1478"/>
      <c r="K336" s="900"/>
      <c r="L336" s="900"/>
    </row>
    <row r="337" spans="1:12" ht="32.25" hidden="1" customHeight="1" outlineLevel="1">
      <c r="A337" s="908"/>
      <c r="B337" s="1563" t="s">
        <v>584</v>
      </c>
      <c r="C337" s="1477"/>
      <c r="D337" s="1477"/>
      <c r="E337" s="1477"/>
      <c r="F337" s="1477"/>
      <c r="G337" s="1478"/>
      <c r="H337" s="1564">
        <f>I335</f>
        <v>0</v>
      </c>
      <c r="I337" s="1477"/>
      <c r="J337" s="1478"/>
      <c r="K337" s="900"/>
      <c r="L337" s="900"/>
    </row>
    <row r="338" spans="1:12" ht="15.75" hidden="1" customHeight="1" outlineLevel="1">
      <c r="A338" s="908"/>
      <c r="B338" s="1565"/>
      <c r="C338" s="1528"/>
      <c r="D338" s="1528"/>
      <c r="E338" s="1528"/>
      <c r="F338" s="1528"/>
      <c r="G338" s="1528"/>
      <c r="H338" s="1528"/>
      <c r="I338" s="1528"/>
      <c r="J338" s="1566"/>
      <c r="K338" s="900"/>
      <c r="L338" s="900"/>
    </row>
    <row r="339" spans="1:12" ht="28.5" hidden="1" customHeight="1" outlineLevel="1">
      <c r="A339" s="908"/>
      <c r="B339" s="1563" t="s">
        <v>517</v>
      </c>
      <c r="C339" s="1477"/>
      <c r="D339" s="1477"/>
      <c r="E339" s="1477"/>
      <c r="F339" s="1477"/>
      <c r="G339" s="1478"/>
      <c r="H339" s="1567">
        <f>$I$11</f>
        <v>30</v>
      </c>
      <c r="I339" s="1477"/>
      <c r="J339" s="1478"/>
      <c r="K339" s="900"/>
      <c r="L339" s="900"/>
    </row>
    <row r="340" spans="1:12" ht="15.75" hidden="1" customHeight="1" outlineLevel="1">
      <c r="A340" s="908"/>
      <c r="B340" s="1568"/>
      <c r="C340" s="1477"/>
      <c r="D340" s="1477"/>
      <c r="E340" s="1477"/>
      <c r="F340" s="1477"/>
      <c r="G340" s="1477"/>
      <c r="H340" s="1477"/>
      <c r="I340" s="1477"/>
      <c r="J340" s="1478"/>
      <c r="K340" s="900"/>
      <c r="L340" s="900"/>
    </row>
    <row r="341" spans="1:12" ht="15.75" hidden="1" customHeight="1" outlineLevel="1">
      <c r="A341" s="908"/>
      <c r="B341" s="1563" t="s">
        <v>682</v>
      </c>
      <c r="C341" s="1477"/>
      <c r="D341" s="1477"/>
      <c r="E341" s="1477"/>
      <c r="F341" s="1477"/>
      <c r="G341" s="1478"/>
      <c r="H341" s="1569">
        <f>ROUND(H337*H339,2)</f>
        <v>0</v>
      </c>
      <c r="I341" s="1477"/>
      <c r="J341" s="1478"/>
      <c r="K341" s="900"/>
      <c r="L341" s="900"/>
    </row>
    <row r="342" spans="1:12" ht="15.75" hidden="1" customHeight="1" outlineLevel="1">
      <c r="A342" s="908"/>
      <c r="B342" s="1570"/>
      <c r="C342" s="1477"/>
      <c r="D342" s="1477"/>
      <c r="E342" s="1477"/>
      <c r="F342" s="1477"/>
      <c r="G342" s="1477"/>
      <c r="H342" s="1477"/>
      <c r="I342" s="1477"/>
      <c r="J342" s="1478"/>
      <c r="K342" s="962"/>
      <c r="L342" s="962"/>
    </row>
    <row r="343" spans="1:12" ht="15.75" hidden="1" customHeight="1" outlineLevel="1">
      <c r="A343" s="908"/>
      <c r="B343" s="963"/>
      <c r="C343" s="964"/>
      <c r="D343" s="964"/>
      <c r="E343" s="964"/>
      <c r="F343" s="965"/>
      <c r="G343" s="965"/>
      <c r="H343" s="965"/>
      <c r="I343" s="966"/>
      <c r="J343" s="967"/>
      <c r="K343" s="904"/>
      <c r="L343" s="904"/>
    </row>
    <row r="344" spans="1:12" ht="33" hidden="1" customHeight="1" outlineLevel="1">
      <c r="A344" s="908"/>
      <c r="B344" s="1591" t="str">
        <f>B3</f>
        <v>5162_20_CUIDADOR-de-ALUNOS_20h</v>
      </c>
      <c r="C344" s="1419"/>
      <c r="D344" s="1419"/>
      <c r="E344" s="1592"/>
      <c r="F344" s="968">
        <f>I203</f>
        <v>3706.49</v>
      </c>
      <c r="G344" s="969">
        <f>G203</f>
        <v>1</v>
      </c>
      <c r="H344" s="969">
        <f>H207</f>
        <v>0</v>
      </c>
      <c r="I344" s="970">
        <f>F344*H344</f>
        <v>0</v>
      </c>
      <c r="J344" s="971">
        <f>I344*H339</f>
        <v>0</v>
      </c>
      <c r="K344" s="900"/>
      <c r="L344" s="900"/>
    </row>
    <row r="345" spans="1:12" ht="33" hidden="1" customHeight="1" outlineLevel="1">
      <c r="A345" s="908"/>
      <c r="B345" s="1593" t="str">
        <f>B219</f>
        <v>CALCULO DO CUSTO EXCLUSIVO de HORAS EXTRAS</v>
      </c>
      <c r="C345" s="1594"/>
      <c r="D345" s="1594"/>
      <c r="E345" s="1595"/>
      <c r="F345" s="972">
        <f>J295</f>
        <v>0</v>
      </c>
      <c r="G345" s="969">
        <f t="shared" ref="G345:H345" si="21">G344</f>
        <v>1</v>
      </c>
      <c r="H345" s="969">
        <f t="shared" si="21"/>
        <v>0</v>
      </c>
      <c r="I345" s="970">
        <f>IF(H335&gt;=1, F345*1, 0)</f>
        <v>0</v>
      </c>
      <c r="J345" s="971">
        <f>I345*H339</f>
        <v>0</v>
      </c>
      <c r="K345" s="900"/>
      <c r="L345" s="900"/>
    </row>
    <row r="346" spans="1:12" ht="33" hidden="1" customHeight="1" outlineLevel="1">
      <c r="A346" s="908"/>
      <c r="B346" s="1596" t="str">
        <f>B297</f>
        <v xml:space="preserve">CALCULO DO CUSTO EXCLUSIVO das DIÁRIAS </v>
      </c>
      <c r="C346" s="1597"/>
      <c r="D346" s="1597"/>
      <c r="E346" s="1598"/>
      <c r="F346" s="973">
        <f>J331</f>
        <v>0</v>
      </c>
      <c r="G346" s="974">
        <f t="shared" ref="G346:H346" si="22">G345</f>
        <v>1</v>
      </c>
      <c r="H346" s="974">
        <f t="shared" si="22"/>
        <v>0</v>
      </c>
      <c r="I346" s="975">
        <f>IF(H335&gt;=1, F346*1, 0)</f>
        <v>0</v>
      </c>
      <c r="J346" s="976">
        <f>I346*H339</f>
        <v>0</v>
      </c>
      <c r="K346" s="900"/>
      <c r="L346" s="900"/>
    </row>
    <row r="347" spans="1:12" ht="45.75" hidden="1" customHeight="1" outlineLevel="1">
      <c r="A347" s="908"/>
      <c r="B347" s="977" t="s">
        <v>586</v>
      </c>
      <c r="C347" s="978"/>
      <c r="D347" s="979" t="str">
        <f>G297</f>
        <v>5162_20_CUIDADOR-de-ALUNOS_20h</v>
      </c>
      <c r="E347" s="978"/>
      <c r="F347" s="978"/>
      <c r="G347" s="978"/>
      <c r="H347" s="978"/>
      <c r="I347" s="980"/>
      <c r="J347" s="981">
        <f>J344+J345+J346</f>
        <v>0</v>
      </c>
      <c r="K347" s="900"/>
      <c r="L347" s="900"/>
    </row>
    <row r="348" spans="1:12" ht="15.75" customHeight="1">
      <c r="A348" s="908"/>
      <c r="B348" s="908"/>
      <c r="C348" s="908"/>
      <c r="D348" s="908"/>
      <c r="E348" s="908"/>
      <c r="F348" s="908"/>
      <c r="G348" s="908"/>
      <c r="H348" s="908"/>
      <c r="I348" s="908"/>
      <c r="J348" s="1016"/>
      <c r="K348" s="900"/>
      <c r="L348" s="900"/>
    </row>
    <row r="349" spans="1:12" ht="15.75" customHeight="1">
      <c r="A349" s="908"/>
      <c r="B349" s="908"/>
      <c r="C349" s="908"/>
      <c r="D349" s="908"/>
      <c r="E349" s="908"/>
      <c r="F349" s="908"/>
      <c r="G349" s="908"/>
      <c r="H349" s="908"/>
      <c r="I349" s="908"/>
      <c r="J349" s="1016"/>
      <c r="K349" s="900"/>
      <c r="L349" s="900"/>
    </row>
    <row r="350" spans="1:12" ht="15.75" customHeight="1">
      <c r="A350" s="908"/>
      <c r="B350" s="908"/>
      <c r="C350" s="908"/>
      <c r="D350" s="908"/>
      <c r="E350" s="908"/>
      <c r="F350" s="908"/>
      <c r="G350" s="908"/>
      <c r="H350" s="908"/>
      <c r="I350" s="908"/>
      <c r="J350" s="1016"/>
      <c r="K350" s="900"/>
      <c r="L350" s="900"/>
    </row>
    <row r="351" spans="1:12" ht="15.75" customHeight="1">
      <c r="A351" s="908"/>
      <c r="B351" s="908"/>
      <c r="C351" s="908"/>
      <c r="D351" s="908"/>
      <c r="E351" s="908"/>
      <c r="F351" s="908"/>
      <c r="G351" s="908"/>
      <c r="H351" s="908"/>
      <c r="I351" s="908"/>
      <c r="J351" s="1016"/>
      <c r="K351" s="900"/>
      <c r="L351" s="900"/>
    </row>
    <row r="352" spans="1:12" ht="15.75" customHeight="1">
      <c r="A352" s="908"/>
      <c r="B352" s="908"/>
      <c r="C352" s="908"/>
      <c r="D352" s="908"/>
      <c r="E352" s="908"/>
      <c r="F352" s="908"/>
      <c r="G352" s="908"/>
      <c r="H352" s="908"/>
      <c r="I352" s="908"/>
      <c r="J352" s="1016"/>
      <c r="K352" s="900"/>
      <c r="L352" s="900"/>
    </row>
    <row r="353" spans="1:12" ht="15.75" customHeight="1">
      <c r="A353" s="908"/>
      <c r="B353" s="908"/>
      <c r="C353" s="908"/>
      <c r="D353" s="908"/>
      <c r="E353" s="908"/>
      <c r="F353" s="908"/>
      <c r="G353" s="908"/>
      <c r="H353" s="908"/>
      <c r="I353" s="908"/>
      <c r="J353" s="1016"/>
      <c r="K353" s="900"/>
      <c r="L353" s="900"/>
    </row>
    <row r="354" spans="1:12" ht="15.75" customHeight="1">
      <c r="A354" s="908"/>
      <c r="B354" s="908"/>
      <c r="C354" s="908"/>
      <c r="D354" s="908"/>
      <c r="E354" s="908"/>
      <c r="F354" s="908"/>
      <c r="G354" s="908"/>
      <c r="H354" s="908"/>
      <c r="I354" s="908"/>
      <c r="J354" s="1016"/>
      <c r="K354" s="900"/>
      <c r="L354" s="900"/>
    </row>
    <row r="355" spans="1:12" ht="15.75" customHeight="1">
      <c r="A355" s="908"/>
      <c r="B355" s="908"/>
      <c r="C355" s="908"/>
      <c r="D355" s="908"/>
      <c r="E355" s="908"/>
      <c r="F355" s="908"/>
      <c r="G355" s="908"/>
      <c r="H355" s="908"/>
      <c r="I355" s="908"/>
      <c r="J355" s="1016"/>
      <c r="K355" s="900"/>
      <c r="L355" s="900"/>
    </row>
    <row r="356" spans="1:12" ht="15.75" customHeight="1">
      <c r="A356" s="908"/>
      <c r="B356" s="908"/>
      <c r="C356" s="908"/>
      <c r="D356" s="908"/>
      <c r="E356" s="908"/>
      <c r="F356" s="908"/>
      <c r="G356" s="908"/>
      <c r="H356" s="908"/>
      <c r="I356" s="908"/>
      <c r="J356" s="1016"/>
      <c r="K356" s="900"/>
      <c r="L356" s="900"/>
    </row>
    <row r="357" spans="1:12" ht="15.75" customHeight="1">
      <c r="A357" s="908"/>
      <c r="B357" s="908"/>
      <c r="C357" s="908"/>
      <c r="D357" s="908"/>
      <c r="E357" s="908"/>
      <c r="F357" s="908"/>
      <c r="G357" s="908"/>
      <c r="H357" s="908"/>
      <c r="I357" s="908"/>
      <c r="J357" s="1016"/>
      <c r="K357" s="900"/>
      <c r="L357" s="900"/>
    </row>
    <row r="358" spans="1:12" ht="15.75" customHeight="1">
      <c r="A358" s="908"/>
      <c r="B358" s="908"/>
      <c r="C358" s="908"/>
      <c r="D358" s="908"/>
      <c r="E358" s="908"/>
      <c r="F358" s="908"/>
      <c r="G358" s="908"/>
      <c r="H358" s="908"/>
      <c r="I358" s="908"/>
      <c r="J358" s="1016"/>
      <c r="K358" s="900"/>
      <c r="L358" s="900"/>
    </row>
    <row r="359" spans="1:12" ht="15.75" customHeight="1">
      <c r="A359" s="908"/>
      <c r="B359" s="908"/>
      <c r="C359" s="908"/>
      <c r="D359" s="908"/>
      <c r="E359" s="908"/>
      <c r="F359" s="908"/>
      <c r="G359" s="908"/>
      <c r="H359" s="908"/>
      <c r="I359" s="908"/>
      <c r="J359" s="1016"/>
      <c r="K359" s="900"/>
      <c r="L359" s="900"/>
    </row>
    <row r="360" spans="1:12" ht="15.75" customHeight="1">
      <c r="A360" s="908"/>
      <c r="B360" s="908"/>
      <c r="C360" s="908"/>
      <c r="D360" s="908"/>
      <c r="E360" s="908"/>
      <c r="F360" s="908"/>
      <c r="G360" s="908"/>
      <c r="H360" s="908"/>
      <c r="I360" s="908"/>
      <c r="J360" s="1016"/>
      <c r="K360" s="900"/>
      <c r="L360" s="900"/>
    </row>
    <row r="361" spans="1:12" ht="15.75" customHeight="1">
      <c r="A361" s="908"/>
      <c r="B361" s="908"/>
      <c r="C361" s="908"/>
      <c r="D361" s="908"/>
      <c r="E361" s="908"/>
      <c r="F361" s="908"/>
      <c r="G361" s="908"/>
      <c r="H361" s="908"/>
      <c r="I361" s="908"/>
      <c r="J361" s="1016"/>
      <c r="K361" s="900"/>
      <c r="L361" s="900"/>
    </row>
    <row r="362" spans="1:12" ht="15.75" customHeight="1">
      <c r="A362" s="908"/>
      <c r="B362" s="908"/>
      <c r="C362" s="908"/>
      <c r="D362" s="908"/>
      <c r="E362" s="908"/>
      <c r="F362" s="908"/>
      <c r="G362" s="908"/>
      <c r="H362" s="908"/>
      <c r="I362" s="908"/>
      <c r="J362" s="1016"/>
      <c r="K362" s="900"/>
      <c r="L362" s="900"/>
    </row>
    <row r="363" spans="1:12" ht="15.75" customHeight="1">
      <c r="A363" s="908"/>
      <c r="B363" s="908"/>
      <c r="C363" s="908"/>
      <c r="D363" s="908"/>
      <c r="E363" s="908"/>
      <c r="F363" s="908"/>
      <c r="G363" s="908"/>
      <c r="H363" s="908"/>
      <c r="I363" s="908"/>
      <c r="J363" s="1016"/>
      <c r="K363" s="900"/>
      <c r="L363" s="900"/>
    </row>
    <row r="364" spans="1:12" ht="15.75" customHeight="1">
      <c r="A364" s="908"/>
      <c r="B364" s="908"/>
      <c r="C364" s="908"/>
      <c r="D364" s="908"/>
      <c r="E364" s="908"/>
      <c r="F364" s="908"/>
      <c r="G364" s="908"/>
      <c r="H364" s="908"/>
      <c r="I364" s="908"/>
      <c r="J364" s="1016"/>
      <c r="K364" s="900"/>
      <c r="L364" s="900"/>
    </row>
    <row r="365" spans="1:12" ht="15.75" customHeight="1">
      <c r="A365" s="908"/>
      <c r="B365" s="908"/>
      <c r="C365" s="908"/>
      <c r="D365" s="908"/>
      <c r="E365" s="908"/>
      <c r="F365" s="908"/>
      <c r="G365" s="908"/>
      <c r="H365" s="908"/>
      <c r="I365" s="908"/>
      <c r="J365" s="1016"/>
      <c r="K365" s="900"/>
      <c r="L365" s="900"/>
    </row>
    <row r="366" spans="1:12" ht="15.75" customHeight="1">
      <c r="A366" s="908"/>
      <c r="B366" s="908"/>
      <c r="C366" s="908"/>
      <c r="D366" s="908"/>
      <c r="E366" s="908"/>
      <c r="F366" s="908"/>
      <c r="G366" s="908"/>
      <c r="H366" s="908"/>
      <c r="I366" s="908"/>
      <c r="J366" s="1016"/>
      <c r="K366" s="900"/>
      <c r="L366" s="900"/>
    </row>
    <row r="367" spans="1:12" ht="15.75" customHeight="1">
      <c r="A367" s="908"/>
      <c r="B367" s="908"/>
      <c r="C367" s="908"/>
      <c r="D367" s="908"/>
      <c r="E367" s="908"/>
      <c r="F367" s="908"/>
      <c r="G367" s="908"/>
      <c r="H367" s="908"/>
      <c r="I367" s="908"/>
      <c r="J367" s="1016"/>
      <c r="K367" s="900"/>
      <c r="L367" s="900"/>
    </row>
    <row r="368" spans="1:12" ht="15.75" customHeight="1">
      <c r="A368" s="908"/>
      <c r="B368" s="908"/>
      <c r="C368" s="908"/>
      <c r="D368" s="908"/>
      <c r="E368" s="908"/>
      <c r="F368" s="908"/>
      <c r="G368" s="908"/>
      <c r="H368" s="908"/>
      <c r="I368" s="908"/>
      <c r="J368" s="1016"/>
      <c r="K368" s="900"/>
      <c r="L368" s="900"/>
    </row>
    <row r="369" spans="1:12" ht="15.75" customHeight="1">
      <c r="A369" s="908"/>
      <c r="B369" s="908"/>
      <c r="C369" s="908"/>
      <c r="D369" s="908"/>
      <c r="E369" s="908"/>
      <c r="F369" s="908"/>
      <c r="G369" s="908"/>
      <c r="H369" s="908"/>
      <c r="I369" s="908"/>
      <c r="J369" s="1016"/>
      <c r="K369" s="900"/>
      <c r="L369" s="900"/>
    </row>
    <row r="370" spans="1:12" ht="15.75" customHeight="1">
      <c r="A370" s="908"/>
      <c r="B370" s="908"/>
      <c r="C370" s="908"/>
      <c r="D370" s="908"/>
      <c r="E370" s="908"/>
      <c r="F370" s="908"/>
      <c r="G370" s="908"/>
      <c r="H370" s="908"/>
      <c r="I370" s="908"/>
      <c r="J370" s="1016"/>
      <c r="K370" s="900"/>
      <c r="L370" s="900"/>
    </row>
    <row r="371" spans="1:12" ht="15.75" customHeight="1">
      <c r="A371" s="908"/>
      <c r="B371" s="908"/>
      <c r="C371" s="908"/>
      <c r="D371" s="908"/>
      <c r="E371" s="908"/>
      <c r="F371" s="908"/>
      <c r="G371" s="908"/>
      <c r="H371" s="908"/>
      <c r="I371" s="908"/>
      <c r="J371" s="1016"/>
      <c r="K371" s="900"/>
      <c r="L371" s="900"/>
    </row>
    <row r="372" spans="1:12" ht="15.75" customHeight="1">
      <c r="A372" s="908"/>
      <c r="B372" s="908"/>
      <c r="C372" s="908"/>
      <c r="D372" s="908"/>
      <c r="E372" s="908"/>
      <c r="F372" s="908"/>
      <c r="G372" s="908"/>
      <c r="H372" s="908"/>
      <c r="I372" s="908"/>
      <c r="J372" s="1016"/>
      <c r="K372" s="900"/>
      <c r="L372" s="900"/>
    </row>
    <row r="373" spans="1:12" ht="15.75" customHeight="1">
      <c r="A373" s="908"/>
      <c r="B373" s="908"/>
      <c r="C373" s="908"/>
      <c r="D373" s="908"/>
      <c r="E373" s="908"/>
      <c r="F373" s="908"/>
      <c r="G373" s="908"/>
      <c r="H373" s="908"/>
      <c r="I373" s="908"/>
      <c r="J373" s="1016"/>
      <c r="K373" s="900"/>
      <c r="L373" s="900"/>
    </row>
    <row r="374" spans="1:12" ht="15.75" customHeight="1">
      <c r="A374" s="908"/>
      <c r="B374" s="908"/>
      <c r="C374" s="908"/>
      <c r="D374" s="908"/>
      <c r="E374" s="908"/>
      <c r="F374" s="908"/>
      <c r="G374" s="908"/>
      <c r="H374" s="908"/>
      <c r="I374" s="908"/>
      <c r="J374" s="1016"/>
      <c r="K374" s="900"/>
      <c r="L374" s="900"/>
    </row>
    <row r="375" spans="1:12" ht="15.75" customHeight="1">
      <c r="A375" s="908"/>
      <c r="B375" s="908"/>
      <c r="C375" s="908"/>
      <c r="D375" s="908"/>
      <c r="E375" s="908"/>
      <c r="F375" s="908"/>
      <c r="G375" s="908"/>
      <c r="H375" s="908"/>
      <c r="I375" s="908"/>
      <c r="J375" s="1016"/>
      <c r="K375" s="900"/>
      <c r="L375" s="900"/>
    </row>
    <row r="376" spans="1:12" ht="15.75" customHeight="1">
      <c r="A376" s="908"/>
      <c r="B376" s="908"/>
      <c r="C376" s="908"/>
      <c r="D376" s="908"/>
      <c r="E376" s="908"/>
      <c r="F376" s="908"/>
      <c r="G376" s="908"/>
      <c r="H376" s="908"/>
      <c r="I376" s="908"/>
      <c r="J376" s="1016"/>
      <c r="K376" s="900"/>
      <c r="L376" s="900"/>
    </row>
    <row r="377" spans="1:12" ht="15.75" customHeight="1">
      <c r="A377" s="908"/>
      <c r="B377" s="908"/>
      <c r="C377" s="908"/>
      <c r="D377" s="908"/>
      <c r="E377" s="908"/>
      <c r="F377" s="908"/>
      <c r="G377" s="908"/>
      <c r="H377" s="908"/>
      <c r="I377" s="908"/>
      <c r="J377" s="1016"/>
      <c r="K377" s="900"/>
      <c r="L377" s="900"/>
    </row>
    <row r="378" spans="1:12" ht="15.75" customHeight="1">
      <c r="A378" s="908"/>
      <c r="B378" s="908"/>
      <c r="C378" s="908"/>
      <c r="D378" s="908"/>
      <c r="E378" s="908"/>
      <c r="F378" s="908"/>
      <c r="G378" s="908"/>
      <c r="H378" s="908"/>
      <c r="I378" s="908"/>
      <c r="J378" s="1016"/>
      <c r="K378" s="900"/>
      <c r="L378" s="900"/>
    </row>
    <row r="379" spans="1:12" ht="15.75" customHeight="1">
      <c r="A379" s="908"/>
      <c r="B379" s="908"/>
      <c r="C379" s="908"/>
      <c r="D379" s="908"/>
      <c r="E379" s="908"/>
      <c r="F379" s="908"/>
      <c r="G379" s="908"/>
      <c r="H379" s="908"/>
      <c r="I379" s="908"/>
      <c r="J379" s="1016"/>
      <c r="K379" s="900"/>
      <c r="L379" s="900"/>
    </row>
    <row r="380" spans="1:12" ht="15.75" customHeight="1">
      <c r="A380" s="908"/>
      <c r="B380" s="908"/>
      <c r="C380" s="908"/>
      <c r="D380" s="908"/>
      <c r="E380" s="908"/>
      <c r="F380" s="908"/>
      <c r="G380" s="908"/>
      <c r="H380" s="908"/>
      <c r="I380" s="908"/>
      <c r="J380" s="1016"/>
      <c r="K380" s="900"/>
      <c r="L380" s="900"/>
    </row>
    <row r="381" spans="1:12" ht="15.75" customHeight="1">
      <c r="A381" s="908"/>
      <c r="B381" s="908"/>
      <c r="C381" s="908"/>
      <c r="D381" s="908"/>
      <c r="E381" s="908"/>
      <c r="F381" s="908"/>
      <c r="G381" s="908"/>
      <c r="H381" s="908"/>
      <c r="I381" s="908"/>
      <c r="J381" s="1016"/>
      <c r="K381" s="900"/>
      <c r="L381" s="900"/>
    </row>
    <row r="382" spans="1:12" ht="15.75" customHeight="1">
      <c r="A382" s="908"/>
      <c r="B382" s="908"/>
      <c r="C382" s="908"/>
      <c r="D382" s="908"/>
      <c r="E382" s="908"/>
      <c r="F382" s="908"/>
      <c r="G382" s="908"/>
      <c r="H382" s="908"/>
      <c r="I382" s="908"/>
      <c r="J382" s="1016"/>
      <c r="K382" s="900"/>
      <c r="L382" s="900"/>
    </row>
    <row r="383" spans="1:12" ht="15.75" customHeight="1">
      <c r="A383" s="908"/>
      <c r="B383" s="908"/>
      <c r="C383" s="908"/>
      <c r="D383" s="908"/>
      <c r="E383" s="908"/>
      <c r="F383" s="908"/>
      <c r="G383" s="908"/>
      <c r="H383" s="908"/>
      <c r="I383" s="908"/>
      <c r="J383" s="1016"/>
      <c r="K383" s="900"/>
      <c r="L383" s="900"/>
    </row>
    <row r="384" spans="1:12" ht="15.75" customHeight="1">
      <c r="A384" s="908"/>
      <c r="B384" s="908"/>
      <c r="C384" s="908"/>
      <c r="D384" s="908"/>
      <c r="E384" s="908"/>
      <c r="F384" s="908"/>
      <c r="G384" s="908"/>
      <c r="H384" s="908"/>
      <c r="I384" s="908"/>
      <c r="J384" s="1016"/>
      <c r="K384" s="900"/>
      <c r="L384" s="900"/>
    </row>
    <row r="385" spans="1:12" ht="15.75" customHeight="1">
      <c r="A385" s="908"/>
      <c r="B385" s="908"/>
      <c r="C385" s="908"/>
      <c r="D385" s="908"/>
      <c r="E385" s="908"/>
      <c r="F385" s="908"/>
      <c r="G385" s="908"/>
      <c r="H385" s="908"/>
      <c r="I385" s="908"/>
      <c r="J385" s="1016"/>
      <c r="K385" s="900"/>
      <c r="L385" s="900"/>
    </row>
    <row r="386" spans="1:12" ht="15.75" customHeight="1">
      <c r="A386" s="908"/>
      <c r="B386" s="908"/>
      <c r="C386" s="908"/>
      <c r="D386" s="908"/>
      <c r="E386" s="908"/>
      <c r="F386" s="908"/>
      <c r="G386" s="908"/>
      <c r="H386" s="908"/>
      <c r="I386" s="908"/>
      <c r="J386" s="1016"/>
      <c r="K386" s="900"/>
      <c r="L386" s="900"/>
    </row>
    <row r="387" spans="1:12" ht="15.75" customHeight="1">
      <c r="A387" s="908"/>
      <c r="B387" s="908"/>
      <c r="C387" s="908"/>
      <c r="D387" s="908"/>
      <c r="E387" s="908"/>
      <c r="F387" s="908"/>
      <c r="G387" s="908"/>
      <c r="H387" s="908"/>
      <c r="I387" s="908"/>
      <c r="J387" s="1016"/>
      <c r="K387" s="900"/>
      <c r="L387" s="900"/>
    </row>
    <row r="388" spans="1:12" ht="15.75" customHeight="1">
      <c r="A388" s="908"/>
      <c r="B388" s="908"/>
      <c r="C388" s="908"/>
      <c r="D388" s="908"/>
      <c r="E388" s="908"/>
      <c r="F388" s="908"/>
      <c r="G388" s="908"/>
      <c r="H388" s="908"/>
      <c r="I388" s="908"/>
      <c r="J388" s="1016"/>
      <c r="K388" s="900"/>
      <c r="L388" s="900"/>
    </row>
    <row r="389" spans="1:12" ht="15.75" customHeight="1">
      <c r="A389" s="908"/>
      <c r="B389" s="908"/>
      <c r="C389" s="908"/>
      <c r="D389" s="908"/>
      <c r="E389" s="908"/>
      <c r="F389" s="908"/>
      <c r="G389" s="908"/>
      <c r="H389" s="908"/>
      <c r="I389" s="908"/>
      <c r="J389" s="1016"/>
      <c r="K389" s="900"/>
      <c r="L389" s="900"/>
    </row>
    <row r="390" spans="1:12" ht="15.75" customHeight="1">
      <c r="A390" s="908"/>
      <c r="B390" s="908"/>
      <c r="C390" s="908"/>
      <c r="D390" s="908"/>
      <c r="E390" s="908"/>
      <c r="F390" s="908"/>
      <c r="G390" s="908"/>
      <c r="H390" s="908"/>
      <c r="I390" s="908"/>
      <c r="J390" s="1016"/>
      <c r="K390" s="900"/>
      <c r="L390" s="900"/>
    </row>
    <row r="391" spans="1:12" ht="15.75" customHeight="1">
      <c r="A391" s="908"/>
      <c r="B391" s="908"/>
      <c r="C391" s="908"/>
      <c r="D391" s="908"/>
      <c r="E391" s="908"/>
      <c r="F391" s="908"/>
      <c r="G391" s="908"/>
      <c r="H391" s="908"/>
      <c r="I391" s="908"/>
      <c r="J391" s="1016"/>
      <c r="K391" s="900"/>
      <c r="L391" s="900"/>
    </row>
    <row r="392" spans="1:12" ht="15.75" customHeight="1">
      <c r="A392" s="908"/>
      <c r="B392" s="908"/>
      <c r="C392" s="908"/>
      <c r="D392" s="908"/>
      <c r="E392" s="908"/>
      <c r="F392" s="908"/>
      <c r="G392" s="908"/>
      <c r="H392" s="908"/>
      <c r="I392" s="908"/>
      <c r="J392" s="1016"/>
      <c r="K392" s="900"/>
      <c r="L392" s="900"/>
    </row>
    <row r="393" spans="1:12" ht="15.75" customHeight="1">
      <c r="A393" s="908"/>
      <c r="B393" s="908"/>
      <c r="C393" s="908"/>
      <c r="D393" s="908"/>
      <c r="E393" s="908"/>
      <c r="F393" s="908"/>
      <c r="G393" s="908"/>
      <c r="H393" s="908"/>
      <c r="I393" s="908"/>
      <c r="J393" s="1016"/>
      <c r="K393" s="900"/>
      <c r="L393" s="900"/>
    </row>
    <row r="394" spans="1:12" ht="15.75" customHeight="1">
      <c r="A394" s="908"/>
      <c r="B394" s="908"/>
      <c r="C394" s="908"/>
      <c r="D394" s="908"/>
      <c r="E394" s="908"/>
      <c r="F394" s="908"/>
      <c r="G394" s="908"/>
      <c r="H394" s="908"/>
      <c r="I394" s="908"/>
      <c r="J394" s="1016"/>
      <c r="K394" s="900"/>
      <c r="L394" s="900"/>
    </row>
    <row r="395" spans="1:12" ht="15.75" customHeight="1">
      <c r="A395" s="908"/>
      <c r="B395" s="908"/>
      <c r="C395" s="908"/>
      <c r="D395" s="908"/>
      <c r="E395" s="908"/>
      <c r="F395" s="908"/>
      <c r="G395" s="908"/>
      <c r="H395" s="908"/>
      <c r="I395" s="908"/>
      <c r="J395" s="1016"/>
      <c r="K395" s="900"/>
      <c r="L395" s="900"/>
    </row>
    <row r="396" spans="1:12" ht="15.75" customHeight="1">
      <c r="A396" s="908"/>
      <c r="B396" s="908"/>
      <c r="C396" s="908"/>
      <c r="D396" s="908"/>
      <c r="E396" s="908"/>
      <c r="F396" s="908"/>
      <c r="G396" s="908"/>
      <c r="H396" s="908"/>
      <c r="I396" s="908"/>
      <c r="J396" s="1016"/>
      <c r="K396" s="900"/>
      <c r="L396" s="900"/>
    </row>
    <row r="397" spans="1:12" ht="15.75" customHeight="1">
      <c r="A397" s="908"/>
      <c r="B397" s="908"/>
      <c r="C397" s="908"/>
      <c r="D397" s="908"/>
      <c r="E397" s="908"/>
      <c r="F397" s="908"/>
      <c r="G397" s="908"/>
      <c r="H397" s="908"/>
      <c r="I397" s="908"/>
      <c r="J397" s="1016"/>
      <c r="K397" s="900"/>
      <c r="L397" s="900"/>
    </row>
    <row r="398" spans="1:12" ht="15.75" customHeight="1">
      <c r="A398" s="908"/>
      <c r="B398" s="908"/>
      <c r="C398" s="908"/>
      <c r="D398" s="908"/>
      <c r="E398" s="908"/>
      <c r="F398" s="908"/>
      <c r="G398" s="908"/>
      <c r="H398" s="908"/>
      <c r="I398" s="908"/>
      <c r="J398" s="1016"/>
      <c r="K398" s="900"/>
      <c r="L398" s="900"/>
    </row>
    <row r="399" spans="1:12" ht="15.75" customHeight="1">
      <c r="A399" s="908"/>
      <c r="B399" s="908"/>
      <c r="C399" s="908"/>
      <c r="D399" s="908"/>
      <c r="E399" s="908"/>
      <c r="F399" s="908"/>
      <c r="G399" s="908"/>
      <c r="H399" s="908"/>
      <c r="I399" s="908"/>
      <c r="J399" s="1016"/>
      <c r="K399" s="900"/>
      <c r="L399" s="900"/>
    </row>
    <row r="400" spans="1:12" ht="15.75" customHeight="1">
      <c r="A400" s="908"/>
      <c r="B400" s="908"/>
      <c r="C400" s="908"/>
      <c r="D400" s="908"/>
      <c r="E400" s="908"/>
      <c r="F400" s="908"/>
      <c r="G400" s="908"/>
      <c r="H400" s="908"/>
      <c r="I400" s="908"/>
      <c r="J400" s="1016"/>
      <c r="K400" s="900"/>
      <c r="L400" s="900"/>
    </row>
    <row r="401" spans="1:12" ht="15.75" customHeight="1">
      <c r="A401" s="908"/>
      <c r="B401" s="908"/>
      <c r="C401" s="908"/>
      <c r="D401" s="908"/>
      <c r="E401" s="908"/>
      <c r="F401" s="908"/>
      <c r="G401" s="908"/>
      <c r="H401" s="908"/>
      <c r="I401" s="908"/>
      <c r="J401" s="1016"/>
      <c r="K401" s="900"/>
      <c r="L401" s="900"/>
    </row>
    <row r="402" spans="1:12" ht="15.75" customHeight="1">
      <c r="A402" s="908"/>
      <c r="B402" s="908"/>
      <c r="C402" s="908"/>
      <c r="D402" s="908"/>
      <c r="E402" s="908"/>
      <c r="F402" s="908"/>
      <c r="G402" s="908"/>
      <c r="H402" s="908"/>
      <c r="I402" s="908"/>
      <c r="J402" s="1016"/>
      <c r="K402" s="900"/>
      <c r="L402" s="900"/>
    </row>
    <row r="403" spans="1:12" ht="15.75" customHeight="1">
      <c r="A403" s="908"/>
      <c r="B403" s="908"/>
      <c r="C403" s="908"/>
      <c r="D403" s="908"/>
      <c r="E403" s="908"/>
      <c r="F403" s="908"/>
      <c r="G403" s="908"/>
      <c r="H403" s="908"/>
      <c r="I403" s="908"/>
      <c r="J403" s="1016"/>
      <c r="K403" s="900"/>
      <c r="L403" s="900"/>
    </row>
    <row r="404" spans="1:12" ht="15.75" customHeight="1">
      <c r="A404" s="908"/>
      <c r="B404" s="908"/>
      <c r="C404" s="908"/>
      <c r="D404" s="908"/>
      <c r="E404" s="908"/>
      <c r="F404" s="908"/>
      <c r="G404" s="908"/>
      <c r="H404" s="908"/>
      <c r="I404" s="908"/>
      <c r="J404" s="1016"/>
      <c r="K404" s="900"/>
      <c r="L404" s="900"/>
    </row>
    <row r="405" spans="1:12" ht="15.75" customHeight="1">
      <c r="A405" s="908"/>
      <c r="B405" s="908"/>
      <c r="C405" s="908"/>
      <c r="D405" s="908"/>
      <c r="E405" s="908"/>
      <c r="F405" s="908"/>
      <c r="G405" s="908"/>
      <c r="H405" s="908"/>
      <c r="I405" s="908"/>
      <c r="J405" s="1016"/>
      <c r="K405" s="900"/>
      <c r="L405" s="900"/>
    </row>
    <row r="406" spans="1:12" ht="15.75" customHeight="1">
      <c r="A406" s="908"/>
      <c r="B406" s="908"/>
      <c r="C406" s="908"/>
      <c r="D406" s="908"/>
      <c r="E406" s="908"/>
      <c r="F406" s="908"/>
      <c r="G406" s="908"/>
      <c r="H406" s="908"/>
      <c r="I406" s="908"/>
      <c r="J406" s="1016"/>
      <c r="K406" s="900"/>
      <c r="L406" s="900"/>
    </row>
    <row r="407" spans="1:12" ht="15.75" customHeight="1">
      <c r="A407" s="908"/>
      <c r="B407" s="908"/>
      <c r="C407" s="908"/>
      <c r="D407" s="908"/>
      <c r="E407" s="908"/>
      <c r="F407" s="908"/>
      <c r="G407" s="908"/>
      <c r="H407" s="908"/>
      <c r="I407" s="908"/>
      <c r="J407" s="1016"/>
      <c r="K407" s="900"/>
      <c r="L407" s="900"/>
    </row>
    <row r="408" spans="1:12" ht="15.75" customHeight="1">
      <c r="A408" s="908"/>
      <c r="B408" s="908"/>
      <c r="C408" s="908"/>
      <c r="D408" s="908"/>
      <c r="E408" s="908"/>
      <c r="F408" s="908"/>
      <c r="G408" s="908"/>
      <c r="H408" s="908"/>
      <c r="I408" s="908"/>
      <c r="J408" s="1016"/>
      <c r="K408" s="900"/>
      <c r="L408" s="900"/>
    </row>
    <row r="409" spans="1:12" ht="15.75" customHeight="1">
      <c r="A409" s="908"/>
      <c r="B409" s="908"/>
      <c r="C409" s="908"/>
      <c r="D409" s="908"/>
      <c r="E409" s="908"/>
      <c r="F409" s="908"/>
      <c r="G409" s="908"/>
      <c r="H409" s="908"/>
      <c r="I409" s="908"/>
      <c r="J409" s="1016"/>
      <c r="K409" s="900"/>
      <c r="L409" s="900"/>
    </row>
    <row r="410" spans="1:12" ht="15.75" customHeight="1">
      <c r="A410" s="908"/>
      <c r="B410" s="908"/>
      <c r="C410" s="908"/>
      <c r="D410" s="908"/>
      <c r="E410" s="908"/>
      <c r="F410" s="908"/>
      <c r="G410" s="908"/>
      <c r="H410" s="908"/>
      <c r="I410" s="908"/>
      <c r="J410" s="1016"/>
      <c r="K410" s="900"/>
      <c r="L410" s="900"/>
    </row>
    <row r="411" spans="1:12" ht="15.75" customHeight="1">
      <c r="A411" s="908"/>
      <c r="B411" s="908"/>
      <c r="C411" s="908"/>
      <c r="D411" s="908"/>
      <c r="E411" s="908"/>
      <c r="F411" s="908"/>
      <c r="G411" s="908"/>
      <c r="H411" s="908"/>
      <c r="I411" s="908"/>
      <c r="J411" s="1016"/>
      <c r="K411" s="900"/>
      <c r="L411" s="900"/>
    </row>
    <row r="412" spans="1:12" ht="15.75" customHeight="1">
      <c r="A412" s="908"/>
      <c r="B412" s="908"/>
      <c r="C412" s="908"/>
      <c r="D412" s="908"/>
      <c r="E412" s="908"/>
      <c r="F412" s="908"/>
      <c r="G412" s="908"/>
      <c r="H412" s="908"/>
      <c r="I412" s="908"/>
      <c r="J412" s="1016"/>
      <c r="K412" s="900"/>
      <c r="L412" s="900"/>
    </row>
    <row r="413" spans="1:12" ht="15.75" customHeight="1">
      <c r="A413" s="908"/>
      <c r="B413" s="908"/>
      <c r="C413" s="908"/>
      <c r="D413" s="908"/>
      <c r="E413" s="908"/>
      <c r="F413" s="908"/>
      <c r="G413" s="908"/>
      <c r="H413" s="908"/>
      <c r="I413" s="908"/>
      <c r="J413" s="1016"/>
      <c r="K413" s="900"/>
      <c r="L413" s="900"/>
    </row>
    <row r="414" spans="1:12" ht="15.75" customHeight="1">
      <c r="A414" s="908"/>
      <c r="B414" s="908"/>
      <c r="C414" s="908"/>
      <c r="D414" s="908"/>
      <c r="E414" s="908"/>
      <c r="F414" s="908"/>
      <c r="G414" s="908"/>
      <c r="H414" s="908"/>
      <c r="I414" s="908"/>
      <c r="J414" s="1016"/>
      <c r="K414" s="900"/>
      <c r="L414" s="900"/>
    </row>
    <row r="415" spans="1:12" ht="15.75" customHeight="1">
      <c r="A415" s="908"/>
      <c r="B415" s="908"/>
      <c r="C415" s="908"/>
      <c r="D415" s="908"/>
      <c r="E415" s="908"/>
      <c r="F415" s="908"/>
      <c r="G415" s="908"/>
      <c r="H415" s="908"/>
      <c r="I415" s="908"/>
      <c r="J415" s="1016"/>
      <c r="K415" s="900"/>
      <c r="L415" s="900"/>
    </row>
    <row r="416" spans="1:12" ht="15.75" customHeight="1">
      <c r="A416" s="908"/>
      <c r="B416" s="908"/>
      <c r="C416" s="908"/>
      <c r="D416" s="908"/>
      <c r="E416" s="908"/>
      <c r="F416" s="908"/>
      <c r="G416" s="908"/>
      <c r="H416" s="908"/>
      <c r="I416" s="908"/>
      <c r="J416" s="1016"/>
      <c r="K416" s="900"/>
      <c r="L416" s="900"/>
    </row>
    <row r="417" spans="1:12" ht="15.75" customHeight="1">
      <c r="A417" s="908"/>
      <c r="B417" s="908"/>
      <c r="C417" s="908"/>
      <c r="D417" s="908"/>
      <c r="E417" s="908"/>
      <c r="F417" s="908"/>
      <c r="G417" s="908"/>
      <c r="H417" s="908"/>
      <c r="I417" s="908"/>
      <c r="J417" s="1016"/>
      <c r="K417" s="900"/>
      <c r="L417" s="900"/>
    </row>
    <row r="418" spans="1:12" ht="15.75" customHeight="1">
      <c r="A418" s="908"/>
      <c r="B418" s="908"/>
      <c r="C418" s="908"/>
      <c r="D418" s="908"/>
      <c r="E418" s="908"/>
      <c r="F418" s="908"/>
      <c r="G418" s="908"/>
      <c r="H418" s="908"/>
      <c r="I418" s="908"/>
      <c r="J418" s="1016"/>
      <c r="K418" s="900"/>
      <c r="L418" s="900"/>
    </row>
    <row r="419" spans="1:12" ht="15.75" customHeight="1">
      <c r="A419" s="908"/>
      <c r="B419" s="908"/>
      <c r="C419" s="908"/>
      <c r="D419" s="908"/>
      <c r="E419" s="908"/>
      <c r="F419" s="908"/>
      <c r="G419" s="908"/>
      <c r="H419" s="908"/>
      <c r="I419" s="908"/>
      <c r="J419" s="1016"/>
      <c r="K419" s="900"/>
      <c r="L419" s="900"/>
    </row>
    <row r="420" spans="1:12" ht="15.75" customHeight="1">
      <c r="A420" s="908"/>
      <c r="B420" s="908"/>
      <c r="C420" s="908"/>
      <c r="D420" s="908"/>
      <c r="E420" s="908"/>
      <c r="F420" s="908"/>
      <c r="G420" s="908"/>
      <c r="H420" s="908"/>
      <c r="I420" s="908"/>
      <c r="J420" s="1016"/>
      <c r="K420" s="900"/>
      <c r="L420" s="900"/>
    </row>
    <row r="421" spans="1:12" ht="15.75" customHeight="1">
      <c r="A421" s="908"/>
      <c r="B421" s="908"/>
      <c r="C421" s="908"/>
      <c r="D421" s="908"/>
      <c r="E421" s="908"/>
      <c r="F421" s="908"/>
      <c r="G421" s="908"/>
      <c r="H421" s="908"/>
      <c r="I421" s="908"/>
      <c r="J421" s="1016"/>
      <c r="K421" s="900"/>
      <c r="L421" s="900"/>
    </row>
    <row r="422" spans="1:12" ht="15.75" customHeight="1">
      <c r="A422" s="908"/>
      <c r="B422" s="908"/>
      <c r="C422" s="908"/>
      <c r="D422" s="908"/>
      <c r="E422" s="908"/>
      <c r="F422" s="908"/>
      <c r="G422" s="908"/>
      <c r="H422" s="908"/>
      <c r="I422" s="908"/>
      <c r="J422" s="1016"/>
      <c r="K422" s="900"/>
      <c r="L422" s="900"/>
    </row>
    <row r="423" spans="1:12" ht="15.75" customHeight="1">
      <c r="A423" s="908"/>
      <c r="B423" s="908"/>
      <c r="C423" s="908"/>
      <c r="D423" s="908"/>
      <c r="E423" s="908"/>
      <c r="F423" s="908"/>
      <c r="G423" s="908"/>
      <c r="H423" s="908"/>
      <c r="I423" s="908"/>
      <c r="J423" s="1016"/>
      <c r="K423" s="900"/>
      <c r="L423" s="900"/>
    </row>
    <row r="424" spans="1:12" ht="15.75" customHeight="1">
      <c r="A424" s="908"/>
      <c r="B424" s="908"/>
      <c r="C424" s="908"/>
      <c r="D424" s="908"/>
      <c r="E424" s="908"/>
      <c r="F424" s="908"/>
      <c r="G424" s="908"/>
      <c r="H424" s="908"/>
      <c r="I424" s="908"/>
      <c r="J424" s="1016"/>
      <c r="K424" s="900"/>
      <c r="L424" s="900"/>
    </row>
    <row r="425" spans="1:12" ht="15.75" customHeight="1">
      <c r="A425" s="908"/>
      <c r="B425" s="908"/>
      <c r="C425" s="908"/>
      <c r="D425" s="908"/>
      <c r="E425" s="908"/>
      <c r="F425" s="908"/>
      <c r="G425" s="908"/>
      <c r="H425" s="908"/>
      <c r="I425" s="908"/>
      <c r="J425" s="1016"/>
      <c r="K425" s="900"/>
      <c r="L425" s="900"/>
    </row>
    <row r="426" spans="1:12" ht="15.75" customHeight="1">
      <c r="A426" s="908"/>
      <c r="B426" s="908"/>
      <c r="C426" s="908"/>
      <c r="D426" s="908"/>
      <c r="E426" s="908"/>
      <c r="F426" s="908"/>
      <c r="G426" s="908"/>
      <c r="H426" s="908"/>
      <c r="I426" s="908"/>
      <c r="J426" s="1016"/>
      <c r="K426" s="900"/>
      <c r="L426" s="900"/>
    </row>
    <row r="427" spans="1:12" ht="15.75" customHeight="1">
      <c r="A427" s="908"/>
      <c r="B427" s="908"/>
      <c r="C427" s="908"/>
      <c r="D427" s="908"/>
      <c r="E427" s="908"/>
      <c r="F427" s="908"/>
      <c r="G427" s="908"/>
      <c r="H427" s="908"/>
      <c r="I427" s="908"/>
      <c r="J427" s="1016"/>
      <c r="K427" s="900"/>
      <c r="L427" s="900"/>
    </row>
    <row r="428" spans="1:12" ht="15.75" customHeight="1">
      <c r="A428" s="908"/>
      <c r="B428" s="908"/>
      <c r="C428" s="908"/>
      <c r="D428" s="908"/>
      <c r="E428" s="908"/>
      <c r="F428" s="908"/>
      <c r="G428" s="908"/>
      <c r="H428" s="908"/>
      <c r="I428" s="908"/>
      <c r="J428" s="1016"/>
      <c r="K428" s="900"/>
      <c r="L428" s="900"/>
    </row>
    <row r="429" spans="1:12" ht="15.75" customHeight="1">
      <c r="A429" s="908"/>
      <c r="B429" s="908"/>
      <c r="C429" s="908"/>
      <c r="D429" s="908"/>
      <c r="E429" s="908"/>
      <c r="F429" s="908"/>
      <c r="G429" s="908"/>
      <c r="H429" s="908"/>
      <c r="I429" s="908"/>
      <c r="J429" s="1016"/>
      <c r="K429" s="900"/>
      <c r="L429" s="900"/>
    </row>
    <row r="430" spans="1:12" ht="15.75" customHeight="1">
      <c r="A430" s="908"/>
      <c r="B430" s="908"/>
      <c r="C430" s="908"/>
      <c r="D430" s="908"/>
      <c r="E430" s="908"/>
      <c r="F430" s="908"/>
      <c r="G430" s="908"/>
      <c r="H430" s="908"/>
      <c r="I430" s="908"/>
      <c r="J430" s="1016"/>
      <c r="K430" s="900"/>
      <c r="L430" s="900"/>
    </row>
    <row r="431" spans="1:12" ht="15.75" customHeight="1">
      <c r="A431" s="908"/>
      <c r="B431" s="908"/>
      <c r="C431" s="908"/>
      <c r="D431" s="908"/>
      <c r="E431" s="908"/>
      <c r="F431" s="908"/>
      <c r="G431" s="908"/>
      <c r="H431" s="908"/>
      <c r="I431" s="908"/>
      <c r="J431" s="1016"/>
      <c r="K431" s="900"/>
      <c r="L431" s="900"/>
    </row>
    <row r="432" spans="1:12" ht="15.75" customHeight="1">
      <c r="A432" s="908"/>
      <c r="B432" s="908"/>
      <c r="C432" s="908"/>
      <c r="D432" s="908"/>
      <c r="E432" s="908"/>
      <c r="F432" s="908"/>
      <c r="G432" s="908"/>
      <c r="H432" s="908"/>
      <c r="I432" s="908"/>
      <c r="J432" s="1016"/>
      <c r="K432" s="900"/>
      <c r="L432" s="900"/>
    </row>
    <row r="433" spans="1:12" ht="15.75" customHeight="1">
      <c r="A433" s="908"/>
      <c r="B433" s="908"/>
      <c r="C433" s="908"/>
      <c r="D433" s="908"/>
      <c r="E433" s="908"/>
      <c r="F433" s="908"/>
      <c r="G433" s="908"/>
      <c r="H433" s="908"/>
      <c r="I433" s="908"/>
      <c r="J433" s="1016"/>
      <c r="K433" s="900"/>
      <c r="L433" s="900"/>
    </row>
    <row r="434" spans="1:12" ht="15.75" customHeight="1">
      <c r="A434" s="908"/>
      <c r="B434" s="908"/>
      <c r="C434" s="908"/>
      <c r="D434" s="908"/>
      <c r="E434" s="908"/>
      <c r="F434" s="908"/>
      <c r="G434" s="908"/>
      <c r="H434" s="908"/>
      <c r="I434" s="908"/>
      <c r="J434" s="1016"/>
      <c r="K434" s="900"/>
      <c r="L434" s="900"/>
    </row>
    <row r="435" spans="1:12" ht="15.75" customHeight="1">
      <c r="A435" s="908"/>
      <c r="B435" s="908"/>
      <c r="C435" s="908"/>
      <c r="D435" s="908"/>
      <c r="E435" s="908"/>
      <c r="F435" s="908"/>
      <c r="G435" s="908"/>
      <c r="H435" s="908"/>
      <c r="I435" s="908"/>
      <c r="J435" s="1016"/>
      <c r="K435" s="900"/>
      <c r="L435" s="900"/>
    </row>
    <row r="436" spans="1:12" ht="15.75" customHeight="1">
      <c r="A436" s="908"/>
      <c r="B436" s="908"/>
      <c r="C436" s="908"/>
      <c r="D436" s="908"/>
      <c r="E436" s="908"/>
      <c r="F436" s="908"/>
      <c r="G436" s="908"/>
      <c r="H436" s="908"/>
      <c r="I436" s="908"/>
      <c r="J436" s="1016"/>
      <c r="K436" s="900"/>
      <c r="L436" s="900"/>
    </row>
    <row r="437" spans="1:12" ht="15.75" customHeight="1">
      <c r="A437" s="908"/>
      <c r="B437" s="908"/>
      <c r="C437" s="908"/>
      <c r="D437" s="908"/>
      <c r="E437" s="908"/>
      <c r="F437" s="908"/>
      <c r="G437" s="908"/>
      <c r="H437" s="908"/>
      <c r="I437" s="908"/>
      <c r="J437" s="1016"/>
      <c r="K437" s="900"/>
      <c r="L437" s="900"/>
    </row>
    <row r="438" spans="1:12" ht="15.75" customHeight="1">
      <c r="A438" s="908"/>
      <c r="B438" s="908"/>
      <c r="C438" s="908"/>
      <c r="D438" s="908"/>
      <c r="E438" s="908"/>
      <c r="F438" s="908"/>
      <c r="G438" s="908"/>
      <c r="H438" s="908"/>
      <c r="I438" s="908"/>
      <c r="J438" s="1016"/>
      <c r="K438" s="900"/>
      <c r="L438" s="900"/>
    </row>
    <row r="439" spans="1:12" ht="15.75" customHeight="1">
      <c r="A439" s="908"/>
      <c r="B439" s="908"/>
      <c r="C439" s="908"/>
      <c r="D439" s="908"/>
      <c r="E439" s="908"/>
      <c r="F439" s="908"/>
      <c r="G439" s="908"/>
      <c r="H439" s="908"/>
      <c r="I439" s="908"/>
      <c r="J439" s="1016"/>
      <c r="K439" s="900"/>
      <c r="L439" s="900"/>
    </row>
    <row r="440" spans="1:12" ht="15.75" customHeight="1">
      <c r="A440" s="908"/>
      <c r="B440" s="908"/>
      <c r="C440" s="908"/>
      <c r="D440" s="908"/>
      <c r="E440" s="908"/>
      <c r="F440" s="908"/>
      <c r="G440" s="908"/>
      <c r="H440" s="908"/>
      <c r="I440" s="908"/>
      <c r="J440" s="1016"/>
      <c r="K440" s="900"/>
      <c r="L440" s="900"/>
    </row>
    <row r="441" spans="1:12" ht="15.75" customHeight="1">
      <c r="A441" s="908"/>
      <c r="B441" s="908"/>
      <c r="C441" s="908"/>
      <c r="D441" s="908"/>
      <c r="E441" s="908"/>
      <c r="F441" s="908"/>
      <c r="G441" s="908"/>
      <c r="H441" s="908"/>
      <c r="I441" s="908"/>
      <c r="J441" s="1016"/>
      <c r="K441" s="900"/>
      <c r="L441" s="900"/>
    </row>
    <row r="442" spans="1:12" ht="15.75" customHeight="1">
      <c r="A442" s="908"/>
      <c r="B442" s="908"/>
      <c r="C442" s="908"/>
      <c r="D442" s="908"/>
      <c r="E442" s="908"/>
      <c r="F442" s="908"/>
      <c r="G442" s="908"/>
      <c r="H442" s="908"/>
      <c r="I442" s="908"/>
      <c r="J442" s="1016"/>
      <c r="K442" s="900"/>
      <c r="L442" s="900"/>
    </row>
    <row r="443" spans="1:12" ht="15.75" customHeight="1">
      <c r="A443" s="908"/>
      <c r="B443" s="908"/>
      <c r="C443" s="908"/>
      <c r="D443" s="908"/>
      <c r="E443" s="908"/>
      <c r="F443" s="908"/>
      <c r="G443" s="908"/>
      <c r="H443" s="908"/>
      <c r="I443" s="908"/>
      <c r="J443" s="1016"/>
      <c r="K443" s="900"/>
      <c r="L443" s="900"/>
    </row>
    <row r="444" spans="1:12" ht="15.75" customHeight="1">
      <c r="A444" s="908"/>
      <c r="B444" s="908"/>
      <c r="C444" s="908"/>
      <c r="D444" s="908"/>
      <c r="E444" s="908"/>
      <c r="F444" s="908"/>
      <c r="G444" s="908"/>
      <c r="H444" s="908"/>
      <c r="I444" s="908"/>
      <c r="J444" s="1016"/>
      <c r="K444" s="900"/>
      <c r="L444" s="900"/>
    </row>
    <row r="445" spans="1:12" ht="15.75" customHeight="1">
      <c r="A445" s="908"/>
      <c r="B445" s="908"/>
      <c r="C445" s="908"/>
      <c r="D445" s="908"/>
      <c r="E445" s="908"/>
      <c r="F445" s="908"/>
      <c r="G445" s="908"/>
      <c r="H445" s="908"/>
      <c r="I445" s="908"/>
      <c r="J445" s="1016"/>
      <c r="K445" s="900"/>
      <c r="L445" s="900"/>
    </row>
    <row r="446" spans="1:12" ht="15.75" customHeight="1">
      <c r="A446" s="908"/>
      <c r="B446" s="908"/>
      <c r="C446" s="908"/>
      <c r="D446" s="908"/>
      <c r="E446" s="908"/>
      <c r="F446" s="908"/>
      <c r="G446" s="908"/>
      <c r="H446" s="908"/>
      <c r="I446" s="908"/>
      <c r="J446" s="1016"/>
      <c r="K446" s="900"/>
      <c r="L446" s="900"/>
    </row>
    <row r="447" spans="1:12" ht="15.75" customHeight="1">
      <c r="A447" s="908"/>
      <c r="B447" s="908"/>
      <c r="C447" s="908"/>
      <c r="D447" s="908"/>
      <c r="E447" s="908"/>
      <c r="F447" s="908"/>
      <c r="G447" s="908"/>
      <c r="H447" s="908"/>
      <c r="I447" s="908"/>
      <c r="J447" s="1016"/>
      <c r="K447" s="900"/>
      <c r="L447" s="900"/>
    </row>
    <row r="448" spans="1:12" ht="15.75" customHeight="1">
      <c r="A448" s="908"/>
      <c r="B448" s="908"/>
      <c r="C448" s="908"/>
      <c r="D448" s="908"/>
      <c r="E448" s="908"/>
      <c r="F448" s="908"/>
      <c r="G448" s="908"/>
      <c r="H448" s="908"/>
      <c r="I448" s="908"/>
      <c r="J448" s="1016"/>
      <c r="K448" s="900"/>
      <c r="L448" s="900"/>
    </row>
    <row r="449" spans="1:12" ht="15.75" customHeight="1">
      <c r="A449" s="908"/>
      <c r="B449" s="908"/>
      <c r="C449" s="908"/>
      <c r="D449" s="908"/>
      <c r="E449" s="908"/>
      <c r="F449" s="908"/>
      <c r="G449" s="908"/>
      <c r="H449" s="908"/>
      <c r="I449" s="908"/>
      <c r="J449" s="1016"/>
      <c r="K449" s="900"/>
      <c r="L449" s="900"/>
    </row>
    <row r="450" spans="1:12" ht="15.75" customHeight="1">
      <c r="A450" s="908"/>
      <c r="B450" s="908"/>
      <c r="C450" s="908"/>
      <c r="D450" s="908"/>
      <c r="E450" s="908"/>
      <c r="F450" s="908"/>
      <c r="G450" s="908"/>
      <c r="H450" s="908"/>
      <c r="I450" s="908"/>
      <c r="J450" s="1016"/>
      <c r="K450" s="900"/>
      <c r="L450" s="900"/>
    </row>
    <row r="451" spans="1:12" ht="15.75" customHeight="1">
      <c r="A451" s="908"/>
      <c r="B451" s="908"/>
      <c r="C451" s="908"/>
      <c r="D451" s="908"/>
      <c r="E451" s="908"/>
      <c r="F451" s="908"/>
      <c r="G451" s="908"/>
      <c r="H451" s="908"/>
      <c r="I451" s="908"/>
      <c r="J451" s="1016"/>
      <c r="K451" s="900"/>
      <c r="L451" s="900"/>
    </row>
    <row r="452" spans="1:12" ht="15.75" customHeight="1">
      <c r="A452" s="908"/>
      <c r="B452" s="908"/>
      <c r="C452" s="908"/>
      <c r="D452" s="908"/>
      <c r="E452" s="908"/>
      <c r="F452" s="908"/>
      <c r="G452" s="908"/>
      <c r="H452" s="908"/>
      <c r="I452" s="908"/>
      <c r="J452" s="1016"/>
      <c r="K452" s="900"/>
      <c r="L452" s="900"/>
    </row>
    <row r="453" spans="1:12" ht="15.75" customHeight="1">
      <c r="A453" s="908"/>
      <c r="B453" s="908"/>
      <c r="C453" s="908"/>
      <c r="D453" s="908"/>
      <c r="E453" s="908"/>
      <c r="F453" s="908"/>
      <c r="G453" s="908"/>
      <c r="H453" s="908"/>
      <c r="I453" s="908"/>
      <c r="J453" s="1016"/>
      <c r="K453" s="900"/>
      <c r="L453" s="900"/>
    </row>
    <row r="454" spans="1:12" ht="15.75" customHeight="1">
      <c r="A454" s="908"/>
      <c r="B454" s="908"/>
      <c r="C454" s="908"/>
      <c r="D454" s="908"/>
      <c r="E454" s="908"/>
      <c r="F454" s="908"/>
      <c r="G454" s="908"/>
      <c r="H454" s="908"/>
      <c r="I454" s="908"/>
      <c r="J454" s="1016"/>
      <c r="K454" s="900"/>
      <c r="L454" s="900"/>
    </row>
    <row r="455" spans="1:12" ht="15.75" customHeight="1">
      <c r="A455" s="908"/>
      <c r="B455" s="908"/>
      <c r="C455" s="908"/>
      <c r="D455" s="908"/>
      <c r="E455" s="908"/>
      <c r="F455" s="908"/>
      <c r="G455" s="908"/>
      <c r="H455" s="908"/>
      <c r="I455" s="908"/>
      <c r="J455" s="1016"/>
      <c r="K455" s="900"/>
      <c r="L455" s="900"/>
    </row>
    <row r="456" spans="1:12" ht="15.75" customHeight="1">
      <c r="A456" s="908"/>
      <c r="B456" s="908"/>
      <c r="C456" s="908"/>
      <c r="D456" s="908"/>
      <c r="E456" s="908"/>
      <c r="F456" s="908"/>
      <c r="G456" s="908"/>
      <c r="H456" s="908"/>
      <c r="I456" s="908"/>
      <c r="J456" s="1016"/>
      <c r="K456" s="900"/>
      <c r="L456" s="900"/>
    </row>
    <row r="457" spans="1:12" ht="15.75" customHeight="1">
      <c r="A457" s="908"/>
      <c r="B457" s="908"/>
      <c r="C457" s="908"/>
      <c r="D457" s="908"/>
      <c r="E457" s="908"/>
      <c r="F457" s="908"/>
      <c r="G457" s="908"/>
      <c r="H457" s="908"/>
      <c r="I457" s="908"/>
      <c r="J457" s="1016"/>
      <c r="K457" s="900"/>
      <c r="L457" s="900"/>
    </row>
    <row r="458" spans="1:12" ht="15.75" customHeight="1">
      <c r="A458" s="908"/>
      <c r="B458" s="908"/>
      <c r="C458" s="908"/>
      <c r="D458" s="908"/>
      <c r="E458" s="908"/>
      <c r="F458" s="908"/>
      <c r="G458" s="908"/>
      <c r="H458" s="908"/>
      <c r="I458" s="908"/>
      <c r="J458" s="1016"/>
      <c r="K458" s="900"/>
      <c r="L458" s="900"/>
    </row>
    <row r="459" spans="1:12" ht="15.75" customHeight="1">
      <c r="A459" s="908"/>
      <c r="B459" s="908"/>
      <c r="C459" s="908"/>
      <c r="D459" s="908"/>
      <c r="E459" s="908"/>
      <c r="F459" s="908"/>
      <c r="G459" s="908"/>
      <c r="H459" s="908"/>
      <c r="I459" s="908"/>
      <c r="J459" s="1016"/>
      <c r="K459" s="900"/>
      <c r="L459" s="900"/>
    </row>
    <row r="460" spans="1:12" ht="15.75" customHeight="1">
      <c r="A460" s="908"/>
      <c r="B460" s="908"/>
      <c r="C460" s="908"/>
      <c r="D460" s="908"/>
      <c r="E460" s="908"/>
      <c r="F460" s="908"/>
      <c r="G460" s="908"/>
      <c r="H460" s="908"/>
      <c r="I460" s="908"/>
      <c r="J460" s="1016"/>
      <c r="K460" s="900"/>
      <c r="L460" s="900"/>
    </row>
    <row r="461" spans="1:12" ht="15.75" customHeight="1">
      <c r="A461" s="908"/>
      <c r="B461" s="908"/>
      <c r="C461" s="908"/>
      <c r="D461" s="908"/>
      <c r="E461" s="908"/>
      <c r="F461" s="908"/>
      <c r="G461" s="908"/>
      <c r="H461" s="908"/>
      <c r="I461" s="908"/>
      <c r="J461" s="1016"/>
      <c r="K461" s="900"/>
      <c r="L461" s="900"/>
    </row>
    <row r="462" spans="1:12" ht="15.75" customHeight="1">
      <c r="A462" s="908"/>
      <c r="B462" s="908"/>
      <c r="C462" s="908"/>
      <c r="D462" s="908"/>
      <c r="E462" s="908"/>
      <c r="F462" s="908"/>
      <c r="G462" s="908"/>
      <c r="H462" s="908"/>
      <c r="I462" s="908"/>
      <c r="J462" s="1016"/>
      <c r="K462" s="900"/>
      <c r="L462" s="900"/>
    </row>
    <row r="463" spans="1:12" ht="15.75" customHeight="1">
      <c r="A463" s="908"/>
      <c r="B463" s="908"/>
      <c r="C463" s="908"/>
      <c r="D463" s="908"/>
      <c r="E463" s="908"/>
      <c r="F463" s="908"/>
      <c r="G463" s="908"/>
      <c r="H463" s="908"/>
      <c r="I463" s="908"/>
      <c r="J463" s="1016"/>
      <c r="K463" s="900"/>
      <c r="L463" s="900"/>
    </row>
    <row r="464" spans="1:12" ht="15.75" customHeight="1">
      <c r="A464" s="908"/>
      <c r="B464" s="908"/>
      <c r="C464" s="908"/>
      <c r="D464" s="908"/>
      <c r="E464" s="908"/>
      <c r="F464" s="908"/>
      <c r="G464" s="908"/>
      <c r="H464" s="908"/>
      <c r="I464" s="908"/>
      <c r="J464" s="1016"/>
      <c r="K464" s="900"/>
      <c r="L464" s="900"/>
    </row>
    <row r="465" spans="1:12" ht="15.75" customHeight="1">
      <c r="A465" s="908"/>
      <c r="B465" s="908"/>
      <c r="C465" s="908"/>
      <c r="D465" s="908"/>
      <c r="E465" s="908"/>
      <c r="F465" s="908"/>
      <c r="G465" s="908"/>
      <c r="H465" s="908"/>
      <c r="I465" s="908"/>
      <c r="J465" s="1016"/>
      <c r="K465" s="900"/>
      <c r="L465" s="900"/>
    </row>
    <row r="466" spans="1:12" ht="15.75" customHeight="1">
      <c r="A466" s="908"/>
      <c r="B466" s="908"/>
      <c r="C466" s="908"/>
      <c r="D466" s="908"/>
      <c r="E466" s="908"/>
      <c r="F466" s="908"/>
      <c r="G466" s="908"/>
      <c r="H466" s="908"/>
      <c r="I466" s="908"/>
      <c r="J466" s="1016"/>
      <c r="K466" s="900"/>
      <c r="L466" s="900"/>
    </row>
    <row r="467" spans="1:12" ht="15.75" customHeight="1">
      <c r="A467" s="908"/>
      <c r="B467" s="908"/>
      <c r="C467" s="908"/>
      <c r="D467" s="908"/>
      <c r="E467" s="908"/>
      <c r="F467" s="908"/>
      <c r="G467" s="908"/>
      <c r="H467" s="908"/>
      <c r="I467" s="908"/>
      <c r="J467" s="1016"/>
      <c r="K467" s="900"/>
      <c r="L467" s="900"/>
    </row>
    <row r="468" spans="1:12" ht="15.75" customHeight="1">
      <c r="A468" s="908"/>
      <c r="B468" s="908"/>
      <c r="C468" s="908"/>
      <c r="D468" s="908"/>
      <c r="E468" s="908"/>
      <c r="F468" s="908"/>
      <c r="G468" s="908"/>
      <c r="H468" s="908"/>
      <c r="I468" s="908"/>
      <c r="J468" s="1016"/>
      <c r="K468" s="900"/>
      <c r="L468" s="900"/>
    </row>
    <row r="469" spans="1:12" ht="15.75" customHeight="1">
      <c r="A469" s="908"/>
      <c r="B469" s="908"/>
      <c r="C469" s="908"/>
      <c r="D469" s="908"/>
      <c r="E469" s="908"/>
      <c r="F469" s="908"/>
      <c r="G469" s="908"/>
      <c r="H469" s="908"/>
      <c r="I469" s="908"/>
      <c r="J469" s="1016"/>
      <c r="K469" s="900"/>
      <c r="L469" s="900"/>
    </row>
    <row r="470" spans="1:12" ht="15.75" customHeight="1">
      <c r="A470" s="908"/>
      <c r="B470" s="908"/>
      <c r="C470" s="908"/>
      <c r="D470" s="908"/>
      <c r="E470" s="908"/>
      <c r="F470" s="908"/>
      <c r="G470" s="908"/>
      <c r="H470" s="908"/>
      <c r="I470" s="908"/>
      <c r="J470" s="1016"/>
      <c r="K470" s="900"/>
      <c r="L470" s="900"/>
    </row>
    <row r="471" spans="1:12" ht="15.75" customHeight="1">
      <c r="A471" s="908"/>
      <c r="B471" s="908"/>
      <c r="C471" s="908"/>
      <c r="D471" s="908"/>
      <c r="E471" s="908"/>
      <c r="F471" s="908"/>
      <c r="G471" s="908"/>
      <c r="H471" s="908"/>
      <c r="I471" s="908"/>
      <c r="J471" s="1016"/>
      <c r="K471" s="900"/>
      <c r="L471" s="900"/>
    </row>
    <row r="472" spans="1:12" ht="15.75" customHeight="1">
      <c r="A472" s="908"/>
      <c r="B472" s="908"/>
      <c r="C472" s="908"/>
      <c r="D472" s="908"/>
      <c r="E472" s="908"/>
      <c r="F472" s="908"/>
      <c r="G472" s="908"/>
      <c r="H472" s="908"/>
      <c r="I472" s="908"/>
      <c r="J472" s="1016"/>
      <c r="K472" s="900"/>
      <c r="L472" s="900"/>
    </row>
    <row r="473" spans="1:12" ht="15.75" customHeight="1">
      <c r="A473" s="908"/>
      <c r="B473" s="908"/>
      <c r="C473" s="908"/>
      <c r="D473" s="908"/>
      <c r="E473" s="908"/>
      <c r="F473" s="908"/>
      <c r="G473" s="908"/>
      <c r="H473" s="908"/>
      <c r="I473" s="908"/>
      <c r="J473" s="1016"/>
      <c r="K473" s="900"/>
      <c r="L473" s="900"/>
    </row>
    <row r="474" spans="1:12" ht="15.75" customHeight="1">
      <c r="A474" s="908"/>
      <c r="B474" s="908"/>
      <c r="C474" s="908"/>
      <c r="D474" s="908"/>
      <c r="E474" s="908"/>
      <c r="F474" s="908"/>
      <c r="G474" s="908"/>
      <c r="H474" s="908"/>
      <c r="I474" s="908"/>
      <c r="J474" s="1016"/>
      <c r="K474" s="900"/>
      <c r="L474" s="900"/>
    </row>
    <row r="475" spans="1:12" ht="15.75" customHeight="1">
      <c r="A475" s="908"/>
      <c r="B475" s="908"/>
      <c r="C475" s="908"/>
      <c r="D475" s="908"/>
      <c r="E475" s="908"/>
      <c r="F475" s="908"/>
      <c r="G475" s="908"/>
      <c r="H475" s="908"/>
      <c r="I475" s="908"/>
      <c r="J475" s="1016"/>
      <c r="K475" s="900"/>
      <c r="L475" s="900"/>
    </row>
    <row r="476" spans="1:12" ht="15.75" customHeight="1">
      <c r="A476" s="908"/>
      <c r="B476" s="908"/>
      <c r="C476" s="908"/>
      <c r="D476" s="908"/>
      <c r="E476" s="908"/>
      <c r="F476" s="908"/>
      <c r="G476" s="908"/>
      <c r="H476" s="908"/>
      <c r="I476" s="908"/>
      <c r="J476" s="1016"/>
      <c r="K476" s="900"/>
      <c r="L476" s="900"/>
    </row>
    <row r="477" spans="1:12" ht="15.75" customHeight="1">
      <c r="A477" s="908"/>
      <c r="B477" s="908"/>
      <c r="C477" s="908"/>
      <c r="D477" s="908"/>
      <c r="E477" s="908"/>
      <c r="F477" s="908"/>
      <c r="G477" s="908"/>
      <c r="H477" s="908"/>
      <c r="I477" s="908"/>
      <c r="J477" s="1016"/>
      <c r="K477" s="900"/>
      <c r="L477" s="900"/>
    </row>
    <row r="478" spans="1:12" ht="15.75" customHeight="1">
      <c r="A478" s="908"/>
      <c r="B478" s="908"/>
      <c r="C478" s="908"/>
      <c r="D478" s="908"/>
      <c r="E478" s="908"/>
      <c r="F478" s="908"/>
      <c r="G478" s="908"/>
      <c r="H478" s="908"/>
      <c r="I478" s="908"/>
      <c r="J478" s="1016"/>
      <c r="K478" s="900"/>
      <c r="L478" s="900"/>
    </row>
    <row r="479" spans="1:12" ht="15.75" customHeight="1">
      <c r="A479" s="908"/>
      <c r="B479" s="908"/>
      <c r="C479" s="908"/>
      <c r="D479" s="908"/>
      <c r="E479" s="908"/>
      <c r="F479" s="908"/>
      <c r="G479" s="908"/>
      <c r="H479" s="908"/>
      <c r="I479" s="908"/>
      <c r="J479" s="1016"/>
      <c r="K479" s="900"/>
      <c r="L479" s="900"/>
    </row>
    <row r="480" spans="1:12" ht="15.75" customHeight="1">
      <c r="A480" s="908"/>
      <c r="B480" s="908"/>
      <c r="C480" s="908"/>
      <c r="D480" s="908"/>
      <c r="E480" s="908"/>
      <c r="F480" s="908"/>
      <c r="G480" s="908"/>
      <c r="H480" s="908"/>
      <c r="I480" s="908"/>
      <c r="J480" s="1016"/>
      <c r="K480" s="900"/>
      <c r="L480" s="900"/>
    </row>
    <row r="481" spans="1:12" ht="15.75" customHeight="1">
      <c r="A481" s="908"/>
      <c r="B481" s="908"/>
      <c r="C481" s="908"/>
      <c r="D481" s="908"/>
      <c r="E481" s="908"/>
      <c r="F481" s="908"/>
      <c r="G481" s="908"/>
      <c r="H481" s="908"/>
      <c r="I481" s="908"/>
      <c r="J481" s="1016"/>
      <c r="K481" s="900"/>
      <c r="L481" s="900"/>
    </row>
    <row r="482" spans="1:12" ht="15.75" customHeight="1">
      <c r="A482" s="908"/>
      <c r="B482" s="908"/>
      <c r="C482" s="908"/>
      <c r="D482" s="908"/>
      <c r="E482" s="908"/>
      <c r="F482" s="908"/>
      <c r="G482" s="908"/>
      <c r="H482" s="908"/>
      <c r="I482" s="908"/>
      <c r="J482" s="1016"/>
      <c r="K482" s="900"/>
      <c r="L482" s="900"/>
    </row>
    <row r="483" spans="1:12" ht="15.75" customHeight="1">
      <c r="A483" s="908"/>
      <c r="B483" s="908"/>
      <c r="C483" s="908"/>
      <c r="D483" s="908"/>
      <c r="E483" s="908"/>
      <c r="F483" s="908"/>
      <c r="G483" s="908"/>
      <c r="H483" s="908"/>
      <c r="I483" s="908"/>
      <c r="J483" s="1016"/>
      <c r="K483" s="900"/>
      <c r="L483" s="900"/>
    </row>
    <row r="484" spans="1:12" ht="15.75" customHeight="1">
      <c r="A484" s="908"/>
      <c r="B484" s="908"/>
      <c r="C484" s="908"/>
      <c r="D484" s="908"/>
      <c r="E484" s="908"/>
      <c r="F484" s="908"/>
      <c r="G484" s="908"/>
      <c r="H484" s="908"/>
      <c r="I484" s="908"/>
      <c r="J484" s="1016"/>
      <c r="K484" s="900"/>
      <c r="L484" s="900"/>
    </row>
    <row r="485" spans="1:12" ht="15.75" customHeight="1">
      <c r="A485" s="908"/>
      <c r="B485" s="908"/>
      <c r="C485" s="908"/>
      <c r="D485" s="908"/>
      <c r="E485" s="908"/>
      <c r="F485" s="908"/>
      <c r="G485" s="908"/>
      <c r="H485" s="908"/>
      <c r="I485" s="908"/>
      <c r="J485" s="1016"/>
      <c r="K485" s="900"/>
      <c r="L485" s="900"/>
    </row>
    <row r="486" spans="1:12" ht="15.75" customHeight="1">
      <c r="A486" s="908"/>
      <c r="B486" s="908"/>
      <c r="C486" s="908"/>
      <c r="D486" s="908"/>
      <c r="E486" s="908"/>
      <c r="F486" s="908"/>
      <c r="G486" s="908"/>
      <c r="H486" s="908"/>
      <c r="I486" s="908"/>
      <c r="J486" s="1016"/>
      <c r="K486" s="900"/>
      <c r="L486" s="900"/>
    </row>
    <row r="487" spans="1:12" ht="15.75" customHeight="1">
      <c r="A487" s="908"/>
      <c r="B487" s="908"/>
      <c r="C487" s="908"/>
      <c r="D487" s="908"/>
      <c r="E487" s="908"/>
      <c r="F487" s="908"/>
      <c r="G487" s="908"/>
      <c r="H487" s="908"/>
      <c r="I487" s="908"/>
      <c r="J487" s="1016"/>
      <c r="K487" s="900"/>
      <c r="L487" s="900"/>
    </row>
    <row r="488" spans="1:12" ht="15.75" customHeight="1">
      <c r="A488" s="908"/>
      <c r="B488" s="908"/>
      <c r="C488" s="908"/>
      <c r="D488" s="908"/>
      <c r="E488" s="908"/>
      <c r="F488" s="908"/>
      <c r="G488" s="908"/>
      <c r="H488" s="908"/>
      <c r="I488" s="908"/>
      <c r="J488" s="1016"/>
      <c r="K488" s="900"/>
      <c r="L488" s="900"/>
    </row>
    <row r="489" spans="1:12" ht="15.75" customHeight="1">
      <c r="A489" s="908"/>
      <c r="B489" s="908"/>
      <c r="C489" s="908"/>
      <c r="D489" s="908"/>
      <c r="E489" s="908"/>
      <c r="F489" s="908"/>
      <c r="G489" s="908"/>
      <c r="H489" s="908"/>
      <c r="I489" s="908"/>
      <c r="J489" s="1016"/>
      <c r="K489" s="900"/>
      <c r="L489" s="900"/>
    </row>
    <row r="490" spans="1:12" ht="15.75" customHeight="1">
      <c r="A490" s="908"/>
      <c r="B490" s="908"/>
      <c r="C490" s="908"/>
      <c r="D490" s="908"/>
      <c r="E490" s="908"/>
      <c r="F490" s="908"/>
      <c r="G490" s="908"/>
      <c r="H490" s="908"/>
      <c r="I490" s="908"/>
      <c r="J490" s="1016"/>
      <c r="K490" s="900"/>
      <c r="L490" s="900"/>
    </row>
    <row r="491" spans="1:12" ht="15.75" customHeight="1">
      <c r="A491" s="908"/>
      <c r="B491" s="908"/>
      <c r="C491" s="908"/>
      <c r="D491" s="908"/>
      <c r="E491" s="908"/>
      <c r="F491" s="908"/>
      <c r="G491" s="908"/>
      <c r="H491" s="908"/>
      <c r="I491" s="908"/>
      <c r="J491" s="1016"/>
      <c r="K491" s="900"/>
      <c r="L491" s="900"/>
    </row>
    <row r="492" spans="1:12" ht="15.75" customHeight="1">
      <c r="A492" s="908"/>
      <c r="B492" s="908"/>
      <c r="C492" s="908"/>
      <c r="D492" s="908"/>
      <c r="E492" s="908"/>
      <c r="F492" s="908"/>
      <c r="G492" s="908"/>
      <c r="H492" s="908"/>
      <c r="I492" s="908"/>
      <c r="J492" s="1016"/>
      <c r="K492" s="900"/>
      <c r="L492" s="900"/>
    </row>
    <row r="493" spans="1:12" ht="15.75" customHeight="1">
      <c r="A493" s="908"/>
      <c r="B493" s="908"/>
      <c r="C493" s="908"/>
      <c r="D493" s="908"/>
      <c r="E493" s="908"/>
      <c r="F493" s="908"/>
      <c r="G493" s="908"/>
      <c r="H493" s="908"/>
      <c r="I493" s="908"/>
      <c r="J493" s="1016"/>
      <c r="K493" s="900"/>
      <c r="L493" s="900"/>
    </row>
    <row r="494" spans="1:12" ht="15.75" customHeight="1">
      <c r="A494" s="908"/>
      <c r="B494" s="908"/>
      <c r="C494" s="908"/>
      <c r="D494" s="908"/>
      <c r="E494" s="908"/>
      <c r="F494" s="908"/>
      <c r="G494" s="908"/>
      <c r="H494" s="908"/>
      <c r="I494" s="908"/>
      <c r="J494" s="1016"/>
      <c r="K494" s="900"/>
      <c r="L494" s="900"/>
    </row>
    <row r="495" spans="1:12" ht="15.75" customHeight="1">
      <c r="A495" s="908"/>
      <c r="B495" s="908"/>
      <c r="C495" s="908"/>
      <c r="D495" s="908"/>
      <c r="E495" s="908"/>
      <c r="F495" s="908"/>
      <c r="G495" s="908"/>
      <c r="H495" s="908"/>
      <c r="I495" s="908"/>
      <c r="J495" s="1016"/>
      <c r="K495" s="900"/>
      <c r="L495" s="900"/>
    </row>
    <row r="496" spans="1:12" ht="15.75" customHeight="1">
      <c r="A496" s="908"/>
      <c r="B496" s="908"/>
      <c r="C496" s="908"/>
      <c r="D496" s="908"/>
      <c r="E496" s="908"/>
      <c r="F496" s="908"/>
      <c r="G496" s="908"/>
      <c r="H496" s="908"/>
      <c r="I496" s="908"/>
      <c r="J496" s="1016"/>
      <c r="K496" s="900"/>
      <c r="L496" s="900"/>
    </row>
    <row r="497" spans="1:12" ht="15.75" customHeight="1">
      <c r="A497" s="908"/>
      <c r="B497" s="908"/>
      <c r="C497" s="908"/>
      <c r="D497" s="908"/>
      <c r="E497" s="908"/>
      <c r="F497" s="908"/>
      <c r="G497" s="908"/>
      <c r="H497" s="908"/>
      <c r="I497" s="908"/>
      <c r="J497" s="1016"/>
      <c r="K497" s="900"/>
      <c r="L497" s="900"/>
    </row>
    <row r="498" spans="1:12" ht="15.75" customHeight="1">
      <c r="A498" s="908"/>
      <c r="B498" s="908"/>
      <c r="C498" s="908"/>
      <c r="D498" s="908"/>
      <c r="E498" s="908"/>
      <c r="F498" s="908"/>
      <c r="G498" s="908"/>
      <c r="H498" s="908"/>
      <c r="I498" s="908"/>
      <c r="J498" s="1016"/>
      <c r="K498" s="900"/>
      <c r="L498" s="900"/>
    </row>
    <row r="499" spans="1:12" ht="15.75" customHeight="1">
      <c r="A499" s="908"/>
      <c r="B499" s="908"/>
      <c r="C499" s="908"/>
      <c r="D499" s="908"/>
      <c r="E499" s="908"/>
      <c r="F499" s="908"/>
      <c r="G499" s="908"/>
      <c r="H499" s="908"/>
      <c r="I499" s="908"/>
      <c r="J499" s="1016"/>
      <c r="K499" s="900"/>
      <c r="L499" s="900"/>
    </row>
    <row r="500" spans="1:12" ht="15.75" customHeight="1">
      <c r="A500" s="908"/>
      <c r="B500" s="908"/>
      <c r="C500" s="908"/>
      <c r="D500" s="908"/>
      <c r="E500" s="908"/>
      <c r="F500" s="908"/>
      <c r="G500" s="908"/>
      <c r="H500" s="908"/>
      <c r="I500" s="908"/>
      <c r="J500" s="1016"/>
      <c r="K500" s="900"/>
      <c r="L500" s="900"/>
    </row>
    <row r="501" spans="1:12" ht="15.75" customHeight="1">
      <c r="A501" s="908"/>
      <c r="B501" s="908"/>
      <c r="C501" s="908"/>
      <c r="D501" s="908"/>
      <c r="E501" s="908"/>
      <c r="F501" s="908"/>
      <c r="G501" s="908"/>
      <c r="H501" s="908"/>
      <c r="I501" s="908"/>
      <c r="J501" s="1016"/>
      <c r="K501" s="900"/>
      <c r="L501" s="900"/>
    </row>
    <row r="502" spans="1:12" ht="15.75" customHeight="1">
      <c r="A502" s="908"/>
      <c r="B502" s="908"/>
      <c r="C502" s="908"/>
      <c r="D502" s="908"/>
      <c r="E502" s="908"/>
      <c r="F502" s="908"/>
      <c r="G502" s="908"/>
      <c r="H502" s="908"/>
      <c r="I502" s="908"/>
      <c r="J502" s="1016"/>
      <c r="K502" s="900"/>
      <c r="L502" s="900"/>
    </row>
    <row r="503" spans="1:12" ht="15.75" customHeight="1">
      <c r="A503" s="908"/>
      <c r="B503" s="908"/>
      <c r="C503" s="908"/>
      <c r="D503" s="908"/>
      <c r="E503" s="908"/>
      <c r="F503" s="908"/>
      <c r="G503" s="908"/>
      <c r="H503" s="908"/>
      <c r="I503" s="908"/>
      <c r="J503" s="1016"/>
      <c r="K503" s="900"/>
      <c r="L503" s="900"/>
    </row>
    <row r="504" spans="1:12" ht="15.75" customHeight="1">
      <c r="A504" s="908"/>
      <c r="B504" s="908"/>
      <c r="C504" s="908"/>
      <c r="D504" s="908"/>
      <c r="E504" s="908"/>
      <c r="F504" s="908"/>
      <c r="G504" s="908"/>
      <c r="H504" s="908"/>
      <c r="I504" s="908"/>
      <c r="J504" s="1016"/>
      <c r="K504" s="900"/>
      <c r="L504" s="900"/>
    </row>
    <row r="505" spans="1:12" ht="15.75" customHeight="1">
      <c r="A505" s="908"/>
      <c r="B505" s="908"/>
      <c r="C505" s="908"/>
      <c r="D505" s="908"/>
      <c r="E505" s="908"/>
      <c r="F505" s="908"/>
      <c r="G505" s="908"/>
      <c r="H505" s="908"/>
      <c r="I505" s="908"/>
      <c r="J505" s="1016"/>
      <c r="K505" s="900"/>
      <c r="L505" s="900"/>
    </row>
    <row r="506" spans="1:12" ht="15.75" customHeight="1">
      <c r="A506" s="908"/>
      <c r="B506" s="908"/>
      <c r="C506" s="908"/>
      <c r="D506" s="908"/>
      <c r="E506" s="908"/>
      <c r="F506" s="908"/>
      <c r="G506" s="908"/>
      <c r="H506" s="908"/>
      <c r="I506" s="908"/>
      <c r="J506" s="1016"/>
      <c r="K506" s="900"/>
      <c r="L506" s="900"/>
    </row>
    <row r="507" spans="1:12" ht="15.75" customHeight="1">
      <c r="A507" s="908"/>
      <c r="B507" s="908"/>
      <c r="C507" s="908"/>
      <c r="D507" s="908"/>
      <c r="E507" s="908"/>
      <c r="F507" s="908"/>
      <c r="G507" s="908"/>
      <c r="H507" s="908"/>
      <c r="I507" s="908"/>
      <c r="J507" s="1016"/>
      <c r="K507" s="900"/>
      <c r="L507" s="900"/>
    </row>
    <row r="508" spans="1:12" ht="15.75" customHeight="1">
      <c r="A508" s="908"/>
      <c r="B508" s="908"/>
      <c r="C508" s="908"/>
      <c r="D508" s="908"/>
      <c r="E508" s="908"/>
      <c r="F508" s="908"/>
      <c r="G508" s="908"/>
      <c r="H508" s="908"/>
      <c r="I508" s="908"/>
      <c r="J508" s="1016"/>
      <c r="K508" s="900"/>
      <c r="L508" s="900"/>
    </row>
    <row r="509" spans="1:12" ht="15.75" customHeight="1">
      <c r="A509" s="908"/>
      <c r="B509" s="908"/>
      <c r="C509" s="908"/>
      <c r="D509" s="908"/>
      <c r="E509" s="908"/>
      <c r="F509" s="908"/>
      <c r="G509" s="908"/>
      <c r="H509" s="908"/>
      <c r="I509" s="908"/>
      <c r="J509" s="1016"/>
      <c r="K509" s="900"/>
      <c r="L509" s="900"/>
    </row>
    <row r="510" spans="1:12" ht="15.75" customHeight="1">
      <c r="A510" s="908"/>
      <c r="B510" s="908"/>
      <c r="C510" s="908"/>
      <c r="D510" s="908"/>
      <c r="E510" s="908"/>
      <c r="F510" s="908"/>
      <c r="G510" s="908"/>
      <c r="H510" s="908"/>
      <c r="I510" s="908"/>
      <c r="J510" s="1016"/>
      <c r="K510" s="900"/>
      <c r="L510" s="900"/>
    </row>
    <row r="511" spans="1:12" ht="15.75" customHeight="1">
      <c r="A511" s="908"/>
      <c r="B511" s="908"/>
      <c r="C511" s="908"/>
      <c r="D511" s="908"/>
      <c r="E511" s="908"/>
      <c r="F511" s="908"/>
      <c r="G511" s="908"/>
      <c r="H511" s="908"/>
      <c r="I511" s="908"/>
      <c r="J511" s="1016"/>
      <c r="K511" s="900"/>
      <c r="L511" s="900"/>
    </row>
    <row r="512" spans="1:12" ht="15.75" customHeight="1">
      <c r="A512" s="908"/>
      <c r="B512" s="908"/>
      <c r="C512" s="908"/>
      <c r="D512" s="908"/>
      <c r="E512" s="908"/>
      <c r="F512" s="908"/>
      <c r="G512" s="908"/>
      <c r="H512" s="908"/>
      <c r="I512" s="908"/>
      <c r="J512" s="1016"/>
      <c r="K512" s="900"/>
      <c r="L512" s="900"/>
    </row>
    <row r="513" spans="1:12" ht="15.75" customHeight="1">
      <c r="A513" s="908"/>
      <c r="B513" s="908"/>
      <c r="C513" s="908"/>
      <c r="D513" s="908"/>
      <c r="E513" s="908"/>
      <c r="F513" s="908"/>
      <c r="G513" s="908"/>
      <c r="H513" s="908"/>
      <c r="I513" s="908"/>
      <c r="J513" s="1016"/>
      <c r="K513" s="900"/>
      <c r="L513" s="900"/>
    </row>
    <row r="514" spans="1:12" ht="15.75" customHeight="1">
      <c r="A514" s="908"/>
      <c r="B514" s="908"/>
      <c r="C514" s="908"/>
      <c r="D514" s="908"/>
      <c r="E514" s="908"/>
      <c r="F514" s="908"/>
      <c r="G514" s="908"/>
      <c r="H514" s="908"/>
      <c r="I514" s="908"/>
      <c r="J514" s="1016"/>
      <c r="K514" s="900"/>
      <c r="L514" s="900"/>
    </row>
    <row r="515" spans="1:12" ht="15.75" customHeight="1">
      <c r="A515" s="908"/>
      <c r="B515" s="908"/>
      <c r="C515" s="908"/>
      <c r="D515" s="908"/>
      <c r="E515" s="908"/>
      <c r="F515" s="908"/>
      <c r="G515" s="908"/>
      <c r="H515" s="908"/>
      <c r="I515" s="908"/>
      <c r="J515" s="1016"/>
      <c r="K515" s="900"/>
      <c r="L515" s="900"/>
    </row>
    <row r="516" spans="1:12" ht="15.75" customHeight="1">
      <c r="A516" s="908"/>
      <c r="B516" s="908"/>
      <c r="C516" s="908"/>
      <c r="D516" s="908"/>
      <c r="E516" s="908"/>
      <c r="F516" s="908"/>
      <c r="G516" s="908"/>
      <c r="H516" s="908"/>
      <c r="I516" s="908"/>
      <c r="J516" s="1016"/>
      <c r="K516" s="900"/>
      <c r="L516" s="900"/>
    </row>
    <row r="517" spans="1:12" ht="15.75" customHeight="1">
      <c r="A517" s="908"/>
      <c r="B517" s="908"/>
      <c r="C517" s="908"/>
      <c r="D517" s="908"/>
      <c r="E517" s="908"/>
      <c r="F517" s="908"/>
      <c r="G517" s="908"/>
      <c r="H517" s="908"/>
      <c r="I517" s="908"/>
      <c r="J517" s="1016"/>
      <c r="K517" s="900"/>
      <c r="L517" s="900"/>
    </row>
    <row r="518" spans="1:12" ht="15.75" customHeight="1">
      <c r="A518" s="908"/>
      <c r="B518" s="908"/>
      <c r="C518" s="908"/>
      <c r="D518" s="908"/>
      <c r="E518" s="908"/>
      <c r="F518" s="908"/>
      <c r="G518" s="908"/>
      <c r="H518" s="908"/>
      <c r="I518" s="908"/>
      <c r="J518" s="1016"/>
      <c r="K518" s="900"/>
      <c r="L518" s="900"/>
    </row>
    <row r="519" spans="1:12" ht="15.75" customHeight="1">
      <c r="A519" s="908"/>
      <c r="B519" s="908"/>
      <c r="C519" s="908"/>
      <c r="D519" s="908"/>
      <c r="E519" s="908"/>
      <c r="F519" s="908"/>
      <c r="G519" s="908"/>
      <c r="H519" s="908"/>
      <c r="I519" s="908"/>
      <c r="J519" s="1016"/>
      <c r="K519" s="900"/>
      <c r="L519" s="900"/>
    </row>
    <row r="520" spans="1:12" ht="15.75" customHeight="1">
      <c r="A520" s="908"/>
      <c r="B520" s="908"/>
      <c r="C520" s="908"/>
      <c r="D520" s="908"/>
      <c r="E520" s="908"/>
      <c r="F520" s="908"/>
      <c r="G520" s="908"/>
      <c r="H520" s="908"/>
      <c r="I520" s="908"/>
      <c r="J520" s="1016"/>
      <c r="K520" s="900"/>
      <c r="L520" s="900"/>
    </row>
    <row r="521" spans="1:12" ht="15.75" customHeight="1">
      <c r="A521" s="908"/>
      <c r="B521" s="908"/>
      <c r="C521" s="908"/>
      <c r="D521" s="908"/>
      <c r="E521" s="908"/>
      <c r="F521" s="908"/>
      <c r="G521" s="908"/>
      <c r="H521" s="908"/>
      <c r="I521" s="908"/>
      <c r="J521" s="1016"/>
      <c r="K521" s="900"/>
      <c r="L521" s="900"/>
    </row>
    <row r="522" spans="1:12" ht="15.75" customHeight="1">
      <c r="A522" s="908"/>
      <c r="B522" s="908"/>
      <c r="C522" s="908"/>
      <c r="D522" s="908"/>
      <c r="E522" s="908"/>
      <c r="F522" s="908"/>
      <c r="G522" s="908"/>
      <c r="H522" s="908"/>
      <c r="I522" s="908"/>
      <c r="J522" s="1016"/>
      <c r="K522" s="900"/>
      <c r="L522" s="900"/>
    </row>
    <row r="523" spans="1:12" ht="15.75" customHeight="1">
      <c r="A523" s="908"/>
      <c r="B523" s="908"/>
      <c r="C523" s="908"/>
      <c r="D523" s="908"/>
      <c r="E523" s="908"/>
      <c r="F523" s="908"/>
      <c r="G523" s="908"/>
      <c r="H523" s="908"/>
      <c r="I523" s="908"/>
      <c r="J523" s="1016"/>
      <c r="K523" s="900"/>
      <c r="L523" s="900"/>
    </row>
    <row r="524" spans="1:12" ht="15.75" customHeight="1">
      <c r="A524" s="908"/>
      <c r="B524" s="908"/>
      <c r="C524" s="908"/>
      <c r="D524" s="908"/>
      <c r="E524" s="908"/>
      <c r="F524" s="908"/>
      <c r="G524" s="908"/>
      <c r="H524" s="908"/>
      <c r="I524" s="908"/>
      <c r="J524" s="1016"/>
      <c r="K524" s="900"/>
      <c r="L524" s="900"/>
    </row>
    <row r="525" spans="1:12" ht="15.75" customHeight="1">
      <c r="A525" s="908"/>
      <c r="B525" s="908"/>
      <c r="C525" s="908"/>
      <c r="D525" s="908"/>
      <c r="E525" s="908"/>
      <c r="F525" s="908"/>
      <c r="G525" s="908"/>
      <c r="H525" s="908"/>
      <c r="I525" s="908"/>
      <c r="J525" s="1016"/>
      <c r="K525" s="900"/>
      <c r="L525" s="900"/>
    </row>
    <row r="526" spans="1:12" ht="15.75" customHeight="1">
      <c r="A526" s="908"/>
      <c r="B526" s="908"/>
      <c r="C526" s="908"/>
      <c r="D526" s="908"/>
      <c r="E526" s="908"/>
      <c r="F526" s="908"/>
      <c r="G526" s="908"/>
      <c r="H526" s="908"/>
      <c r="I526" s="908"/>
      <c r="J526" s="1016"/>
      <c r="K526" s="900"/>
      <c r="L526" s="900"/>
    </row>
    <row r="527" spans="1:12" ht="15.75" customHeight="1">
      <c r="A527" s="908"/>
      <c r="B527" s="908"/>
      <c r="C527" s="908"/>
      <c r="D527" s="908"/>
      <c r="E527" s="908"/>
      <c r="F527" s="908"/>
      <c r="G527" s="908"/>
      <c r="H527" s="908"/>
      <c r="I527" s="908"/>
      <c r="J527" s="1016"/>
      <c r="K527" s="900"/>
      <c r="L527" s="900"/>
    </row>
    <row r="528" spans="1:12" ht="15.75" customHeight="1">
      <c r="A528" s="908"/>
      <c r="B528" s="908"/>
      <c r="C528" s="908"/>
      <c r="D528" s="908"/>
      <c r="E528" s="908"/>
      <c r="F528" s="908"/>
      <c r="G528" s="908"/>
      <c r="H528" s="908"/>
      <c r="I528" s="908"/>
      <c r="J528" s="1016"/>
      <c r="K528" s="900"/>
      <c r="L528" s="900"/>
    </row>
    <row r="529" spans="1:12" ht="15.75" customHeight="1">
      <c r="A529" s="908"/>
      <c r="B529" s="908"/>
      <c r="C529" s="908"/>
      <c r="D529" s="908"/>
      <c r="E529" s="908"/>
      <c r="F529" s="908"/>
      <c r="G529" s="908"/>
      <c r="H529" s="908"/>
      <c r="I529" s="908"/>
      <c r="J529" s="1016"/>
      <c r="K529" s="900"/>
      <c r="L529" s="900"/>
    </row>
    <row r="530" spans="1:12" ht="15.75" customHeight="1">
      <c r="A530" s="908"/>
      <c r="B530" s="908"/>
      <c r="C530" s="908"/>
      <c r="D530" s="908"/>
      <c r="E530" s="908"/>
      <c r="F530" s="908"/>
      <c r="G530" s="908"/>
      <c r="H530" s="908"/>
      <c r="I530" s="908"/>
      <c r="J530" s="1016"/>
      <c r="K530" s="900"/>
      <c r="L530" s="900"/>
    </row>
    <row r="531" spans="1:12" ht="15.75" customHeight="1">
      <c r="A531" s="908"/>
      <c r="B531" s="908"/>
      <c r="C531" s="908"/>
      <c r="D531" s="908"/>
      <c r="E531" s="908"/>
      <c r="F531" s="908"/>
      <c r="G531" s="908"/>
      <c r="H531" s="908"/>
      <c r="I531" s="908"/>
      <c r="J531" s="1016"/>
      <c r="K531" s="900"/>
      <c r="L531" s="900"/>
    </row>
    <row r="532" spans="1:12" ht="15.75" customHeight="1">
      <c r="A532" s="908"/>
      <c r="B532" s="908"/>
      <c r="C532" s="908"/>
      <c r="D532" s="908"/>
      <c r="E532" s="908"/>
      <c r="F532" s="908"/>
      <c r="G532" s="908"/>
      <c r="H532" s="908"/>
      <c r="I532" s="908"/>
      <c r="J532" s="1016"/>
      <c r="K532" s="900"/>
      <c r="L532" s="900"/>
    </row>
    <row r="533" spans="1:12" ht="15.75" customHeight="1">
      <c r="A533" s="908"/>
      <c r="B533" s="908"/>
      <c r="C533" s="908"/>
      <c r="D533" s="908"/>
      <c r="E533" s="908"/>
      <c r="F533" s="908"/>
      <c r="G533" s="908"/>
      <c r="H533" s="908"/>
      <c r="I533" s="908"/>
      <c r="J533" s="1016"/>
      <c r="K533" s="900"/>
      <c r="L533" s="900"/>
    </row>
    <row r="534" spans="1:12" ht="15.75" customHeight="1">
      <c r="A534" s="908"/>
      <c r="B534" s="908"/>
      <c r="C534" s="908"/>
      <c r="D534" s="908"/>
      <c r="E534" s="908"/>
      <c r="F534" s="908"/>
      <c r="G534" s="908"/>
      <c r="H534" s="908"/>
      <c r="I534" s="908"/>
      <c r="J534" s="1016"/>
      <c r="K534" s="900"/>
      <c r="L534" s="900"/>
    </row>
    <row r="535" spans="1:12" ht="15.75" customHeight="1">
      <c r="A535" s="908"/>
      <c r="B535" s="908"/>
      <c r="C535" s="908"/>
      <c r="D535" s="908"/>
      <c r="E535" s="908"/>
      <c r="F535" s="908"/>
      <c r="G535" s="908"/>
      <c r="H535" s="908"/>
      <c r="I535" s="908"/>
      <c r="J535" s="1016"/>
      <c r="K535" s="900"/>
      <c r="L535" s="900"/>
    </row>
    <row r="536" spans="1:12" ht="15.75" customHeight="1">
      <c r="A536" s="908"/>
      <c r="B536" s="908"/>
      <c r="C536" s="908"/>
      <c r="D536" s="908"/>
      <c r="E536" s="908"/>
      <c r="F536" s="908"/>
      <c r="G536" s="908"/>
      <c r="H536" s="908"/>
      <c r="I536" s="908"/>
      <c r="J536" s="1016"/>
      <c r="K536" s="900"/>
      <c r="L536" s="900"/>
    </row>
    <row r="537" spans="1:12" ht="15.75" customHeight="1">
      <c r="A537" s="908"/>
      <c r="B537" s="908"/>
      <c r="C537" s="908"/>
      <c r="D537" s="908"/>
      <c r="E537" s="908"/>
      <c r="F537" s="908"/>
      <c r="G537" s="908"/>
      <c r="H537" s="908"/>
      <c r="I537" s="908"/>
      <c r="J537" s="1016"/>
      <c r="K537" s="900"/>
      <c r="L537" s="900"/>
    </row>
    <row r="538" spans="1:12" ht="15.75" customHeight="1">
      <c r="A538" s="908"/>
      <c r="B538" s="908"/>
      <c r="C538" s="908"/>
      <c r="D538" s="908"/>
      <c r="E538" s="908"/>
      <c r="F538" s="908"/>
      <c r="G538" s="908"/>
      <c r="H538" s="908"/>
      <c r="I538" s="908"/>
      <c r="J538" s="1016"/>
      <c r="K538" s="900"/>
      <c r="L538" s="900"/>
    </row>
    <row r="539" spans="1:12" ht="15.75" customHeight="1">
      <c r="A539" s="908"/>
      <c r="B539" s="908"/>
      <c r="C539" s="908"/>
      <c r="D539" s="908"/>
      <c r="E539" s="908"/>
      <c r="F539" s="908"/>
      <c r="G539" s="908"/>
      <c r="H539" s="908"/>
      <c r="I539" s="908"/>
      <c r="J539" s="1016"/>
      <c r="K539" s="900"/>
      <c r="L539" s="900"/>
    </row>
    <row r="540" spans="1:12" ht="15.75" customHeight="1">
      <c r="A540" s="908"/>
      <c r="B540" s="908"/>
      <c r="C540" s="908"/>
      <c r="D540" s="908"/>
      <c r="E540" s="908"/>
      <c r="F540" s="908"/>
      <c r="G540" s="908"/>
      <c r="H540" s="908"/>
      <c r="I540" s="908"/>
      <c r="J540" s="1016"/>
      <c r="K540" s="900"/>
      <c r="L540" s="900"/>
    </row>
    <row r="541" spans="1:12" ht="15.75" customHeight="1">
      <c r="A541" s="908"/>
      <c r="B541" s="908"/>
      <c r="C541" s="908"/>
      <c r="D541" s="908"/>
      <c r="E541" s="908"/>
      <c r="F541" s="908"/>
      <c r="G541" s="908"/>
      <c r="H541" s="908"/>
      <c r="I541" s="908"/>
      <c r="J541" s="1016"/>
      <c r="K541" s="900"/>
      <c r="L541" s="900"/>
    </row>
    <row r="542" spans="1:12" ht="15.75" customHeight="1">
      <c r="A542" s="908"/>
      <c r="B542" s="908"/>
      <c r="C542" s="908"/>
      <c r="D542" s="908"/>
      <c r="E542" s="908"/>
      <c r="F542" s="908"/>
      <c r="G542" s="908"/>
      <c r="H542" s="908"/>
      <c r="I542" s="908"/>
      <c r="J542" s="1016"/>
      <c r="K542" s="900"/>
      <c r="L542" s="900"/>
    </row>
    <row r="543" spans="1:12" ht="15.75" customHeight="1">
      <c r="A543" s="908"/>
      <c r="B543" s="908"/>
      <c r="C543" s="908"/>
      <c r="D543" s="908"/>
      <c r="E543" s="908"/>
      <c r="F543" s="908"/>
      <c r="G543" s="908"/>
      <c r="H543" s="908"/>
      <c r="I543" s="908"/>
      <c r="J543" s="1016"/>
      <c r="K543" s="900"/>
      <c r="L543" s="900"/>
    </row>
    <row r="544" spans="1:12" ht="15.75" customHeight="1">
      <c r="A544" s="908"/>
      <c r="B544" s="908"/>
      <c r="C544" s="908"/>
      <c r="D544" s="908"/>
      <c r="E544" s="908"/>
      <c r="F544" s="908"/>
      <c r="G544" s="908"/>
      <c r="H544" s="908"/>
      <c r="I544" s="908"/>
      <c r="J544" s="1016"/>
      <c r="K544" s="900"/>
      <c r="L544" s="900"/>
    </row>
    <row r="545" spans="1:12" ht="15.75" customHeight="1">
      <c r="A545" s="908"/>
      <c r="B545" s="908"/>
      <c r="C545" s="908"/>
      <c r="D545" s="908"/>
      <c r="E545" s="908"/>
      <c r="F545" s="908"/>
      <c r="G545" s="908"/>
      <c r="H545" s="908"/>
      <c r="I545" s="908"/>
      <c r="J545" s="1016"/>
      <c r="K545" s="900"/>
      <c r="L545" s="900"/>
    </row>
    <row r="546" spans="1:12" ht="15.75" customHeight="1">
      <c r="A546" s="908"/>
      <c r="B546" s="908"/>
      <c r="C546" s="908"/>
      <c r="D546" s="908"/>
      <c r="E546" s="908"/>
      <c r="F546" s="908"/>
      <c r="G546" s="908"/>
      <c r="H546" s="908"/>
      <c r="I546" s="908"/>
      <c r="J546" s="1016"/>
      <c r="K546" s="900"/>
      <c r="L546" s="900"/>
    </row>
    <row r="547" spans="1:12" ht="15.75" customHeight="1">
      <c r="A547" s="908"/>
      <c r="B547" s="908"/>
      <c r="C547" s="908"/>
      <c r="D547" s="908"/>
      <c r="E547" s="908"/>
      <c r="F547" s="908"/>
      <c r="G547" s="908"/>
      <c r="H547" s="908"/>
      <c r="I547" s="908"/>
      <c r="J547" s="1016"/>
      <c r="K547" s="900"/>
      <c r="L547" s="900"/>
    </row>
    <row r="548" spans="1:12" ht="15.75" customHeight="1">
      <c r="A548" s="908"/>
      <c r="B548" s="908"/>
      <c r="C548" s="908"/>
      <c r="D548" s="908"/>
      <c r="E548" s="908"/>
      <c r="F548" s="908"/>
      <c r="G548" s="908"/>
      <c r="H548" s="908"/>
      <c r="I548" s="908"/>
      <c r="J548" s="1016"/>
      <c r="K548" s="900"/>
      <c r="L548" s="900"/>
    </row>
    <row r="549" spans="1:12" ht="15.75" customHeight="1">
      <c r="A549" s="908"/>
      <c r="B549" s="908"/>
      <c r="C549" s="908"/>
      <c r="D549" s="908"/>
      <c r="E549" s="908"/>
      <c r="F549" s="908"/>
      <c r="G549" s="908"/>
      <c r="H549" s="908"/>
      <c r="I549" s="908"/>
      <c r="J549" s="1016"/>
      <c r="K549" s="900"/>
      <c r="L549" s="900"/>
    </row>
    <row r="550" spans="1:12" ht="15.75" customHeight="1">
      <c r="A550" s="908"/>
      <c r="B550" s="908"/>
      <c r="C550" s="908"/>
      <c r="D550" s="908"/>
      <c r="E550" s="908"/>
      <c r="F550" s="908"/>
      <c r="G550" s="908"/>
      <c r="H550" s="908"/>
      <c r="I550" s="908"/>
      <c r="J550" s="1016"/>
      <c r="K550" s="900"/>
      <c r="L550" s="900"/>
    </row>
    <row r="551" spans="1:12" ht="15.75" customHeight="1">
      <c r="A551" s="908"/>
      <c r="B551" s="908"/>
      <c r="C551" s="908"/>
      <c r="D551" s="908"/>
      <c r="E551" s="908"/>
      <c r="F551" s="908"/>
      <c r="G551" s="908"/>
      <c r="H551" s="908"/>
      <c r="I551" s="908"/>
      <c r="J551" s="1016"/>
      <c r="K551" s="900"/>
      <c r="L551" s="900"/>
    </row>
    <row r="552" spans="1:12" ht="15.75" customHeight="1">
      <c r="A552" s="908"/>
      <c r="B552" s="908"/>
      <c r="C552" s="908"/>
      <c r="D552" s="908"/>
      <c r="E552" s="908"/>
      <c r="F552" s="908"/>
      <c r="G552" s="908"/>
      <c r="H552" s="908"/>
      <c r="I552" s="908"/>
      <c r="J552" s="1016"/>
      <c r="K552" s="900"/>
      <c r="L552" s="900"/>
    </row>
    <row r="553" spans="1:12" ht="15.75" customHeight="1">
      <c r="A553" s="908"/>
      <c r="B553" s="908"/>
      <c r="C553" s="908"/>
      <c r="D553" s="908"/>
      <c r="E553" s="908"/>
      <c r="F553" s="908"/>
      <c r="G553" s="908"/>
      <c r="H553" s="908"/>
      <c r="I553" s="908"/>
      <c r="J553" s="1016"/>
      <c r="K553" s="900"/>
      <c r="L553" s="900"/>
    </row>
    <row r="554" spans="1:12" ht="15.75" customHeight="1">
      <c r="A554" s="908"/>
      <c r="B554" s="908"/>
      <c r="C554" s="908"/>
      <c r="D554" s="908"/>
      <c r="E554" s="908"/>
      <c r="F554" s="908"/>
      <c r="G554" s="908"/>
      <c r="H554" s="908"/>
      <c r="I554" s="908"/>
      <c r="J554" s="1016"/>
      <c r="K554" s="900"/>
      <c r="L554" s="900"/>
    </row>
    <row r="555" spans="1:12" ht="15.75" customHeight="1">
      <c r="A555" s="908"/>
      <c r="B555" s="908"/>
      <c r="C555" s="908"/>
      <c r="D555" s="908"/>
      <c r="E555" s="908"/>
      <c r="F555" s="908"/>
      <c r="G555" s="908"/>
      <c r="H555" s="908"/>
      <c r="I555" s="908"/>
      <c r="J555" s="1016"/>
      <c r="K555" s="900"/>
      <c r="L555" s="900"/>
    </row>
    <row r="556" spans="1:12" ht="15.75" customHeight="1">
      <c r="A556" s="908"/>
      <c r="B556" s="908"/>
      <c r="C556" s="908"/>
      <c r="D556" s="908"/>
      <c r="E556" s="908"/>
      <c r="F556" s="908"/>
      <c r="G556" s="908"/>
      <c r="H556" s="908"/>
      <c r="I556" s="908"/>
      <c r="J556" s="1016"/>
      <c r="K556" s="900"/>
      <c r="L556" s="900"/>
    </row>
    <row r="557" spans="1:12" ht="15.75" customHeight="1">
      <c r="A557" s="908"/>
      <c r="B557" s="908"/>
      <c r="C557" s="908"/>
      <c r="D557" s="908"/>
      <c r="E557" s="908"/>
      <c r="F557" s="908"/>
      <c r="G557" s="908"/>
      <c r="H557" s="908"/>
      <c r="I557" s="908"/>
      <c r="J557" s="1016"/>
      <c r="K557" s="900"/>
      <c r="L557" s="900"/>
    </row>
    <row r="558" spans="1:12" ht="15.75" customHeight="1">
      <c r="A558" s="908"/>
      <c r="B558" s="908"/>
      <c r="C558" s="908"/>
      <c r="D558" s="908"/>
      <c r="E558" s="908"/>
      <c r="F558" s="908"/>
      <c r="G558" s="908"/>
      <c r="H558" s="908"/>
      <c r="I558" s="908"/>
      <c r="J558" s="1016"/>
      <c r="K558" s="900"/>
      <c r="L558" s="900"/>
    </row>
    <row r="559" spans="1:12" ht="15.75" customHeight="1">
      <c r="A559" s="908"/>
      <c r="B559" s="908"/>
      <c r="C559" s="908"/>
      <c r="D559" s="908"/>
      <c r="E559" s="908"/>
      <c r="F559" s="908"/>
      <c r="G559" s="908"/>
      <c r="H559" s="908"/>
      <c r="I559" s="908"/>
      <c r="J559" s="1016"/>
      <c r="K559" s="900"/>
      <c r="L559" s="900"/>
    </row>
    <row r="560" spans="1:12" ht="15.75" customHeight="1">
      <c r="A560" s="908"/>
      <c r="B560" s="908"/>
      <c r="C560" s="908"/>
      <c r="D560" s="908"/>
      <c r="E560" s="908"/>
      <c r="F560" s="908"/>
      <c r="G560" s="908"/>
      <c r="H560" s="908"/>
      <c r="I560" s="908"/>
      <c r="J560" s="1016"/>
      <c r="K560" s="900"/>
      <c r="L560" s="900"/>
    </row>
    <row r="561" spans="1:12" ht="15.75" customHeight="1">
      <c r="A561" s="908"/>
      <c r="B561" s="908"/>
      <c r="C561" s="908"/>
      <c r="D561" s="908"/>
      <c r="E561" s="908"/>
      <c r="F561" s="908"/>
      <c r="G561" s="908"/>
      <c r="H561" s="908"/>
      <c r="I561" s="908"/>
      <c r="J561" s="1016"/>
      <c r="K561" s="900"/>
      <c r="L561" s="900"/>
    </row>
    <row r="562" spans="1:12" ht="15.75" customHeight="1">
      <c r="A562" s="908"/>
      <c r="B562" s="908"/>
      <c r="C562" s="908"/>
      <c r="D562" s="908"/>
      <c r="E562" s="908"/>
      <c r="F562" s="908"/>
      <c r="G562" s="908"/>
      <c r="H562" s="908"/>
      <c r="I562" s="908"/>
      <c r="J562" s="1016"/>
      <c r="K562" s="900"/>
      <c r="L562" s="900"/>
    </row>
    <row r="563" spans="1:12" ht="15.75" customHeight="1">
      <c r="A563" s="908"/>
      <c r="B563" s="908"/>
      <c r="C563" s="908"/>
      <c r="D563" s="908"/>
      <c r="E563" s="908"/>
      <c r="F563" s="908"/>
      <c r="G563" s="908"/>
      <c r="H563" s="908"/>
      <c r="I563" s="908"/>
      <c r="J563" s="1016"/>
      <c r="K563" s="900"/>
      <c r="L563" s="900"/>
    </row>
    <row r="564" spans="1:12" ht="15.75" customHeight="1">
      <c r="A564" s="908"/>
      <c r="B564" s="908"/>
      <c r="C564" s="908"/>
      <c r="D564" s="908"/>
      <c r="E564" s="908"/>
      <c r="F564" s="908"/>
      <c r="G564" s="908"/>
      <c r="H564" s="908"/>
      <c r="I564" s="908"/>
      <c r="J564" s="1016"/>
      <c r="K564" s="900"/>
      <c r="L564" s="900"/>
    </row>
    <row r="565" spans="1:12" ht="15.75" customHeight="1">
      <c r="A565" s="908"/>
      <c r="B565" s="908"/>
      <c r="C565" s="908"/>
      <c r="D565" s="908"/>
      <c r="E565" s="908"/>
      <c r="F565" s="908"/>
      <c r="G565" s="908"/>
      <c r="H565" s="908"/>
      <c r="I565" s="908"/>
      <c r="J565" s="1016"/>
      <c r="K565" s="900"/>
      <c r="L565" s="900"/>
    </row>
    <row r="566" spans="1:12" ht="15.75" customHeight="1">
      <c r="A566" s="908"/>
      <c r="B566" s="908"/>
      <c r="C566" s="908"/>
      <c r="D566" s="908"/>
      <c r="E566" s="908"/>
      <c r="F566" s="908"/>
      <c r="G566" s="908"/>
      <c r="H566" s="908"/>
      <c r="I566" s="908"/>
      <c r="J566" s="1016"/>
      <c r="K566" s="900"/>
      <c r="L566" s="900"/>
    </row>
    <row r="567" spans="1:12" ht="15.75" customHeight="1">
      <c r="A567" s="908"/>
      <c r="B567" s="908"/>
      <c r="C567" s="908"/>
      <c r="D567" s="908"/>
      <c r="E567" s="908"/>
      <c r="F567" s="908"/>
      <c r="G567" s="908"/>
      <c r="H567" s="908"/>
      <c r="I567" s="908"/>
      <c r="J567" s="1016"/>
      <c r="K567" s="900"/>
      <c r="L567" s="900"/>
    </row>
    <row r="568" spans="1:12" ht="15.75" customHeight="1">
      <c r="A568" s="908"/>
      <c r="B568" s="908"/>
      <c r="C568" s="908"/>
      <c r="D568" s="908"/>
      <c r="E568" s="908"/>
      <c r="F568" s="908"/>
      <c r="G568" s="908"/>
      <c r="H568" s="908"/>
      <c r="I568" s="908"/>
      <c r="J568" s="1016"/>
      <c r="K568" s="900"/>
      <c r="L568" s="900"/>
    </row>
    <row r="569" spans="1:12" ht="15.75" customHeight="1">
      <c r="A569" s="908"/>
      <c r="B569" s="908"/>
      <c r="C569" s="908"/>
      <c r="D569" s="908"/>
      <c r="E569" s="908"/>
      <c r="F569" s="908"/>
      <c r="G569" s="908"/>
      <c r="H569" s="908"/>
      <c r="I569" s="908"/>
      <c r="J569" s="1016"/>
      <c r="K569" s="900"/>
      <c r="L569" s="900"/>
    </row>
    <row r="570" spans="1:12" ht="15.75" customHeight="1">
      <c r="A570" s="908"/>
      <c r="B570" s="908"/>
      <c r="C570" s="908"/>
      <c r="D570" s="908"/>
      <c r="E570" s="908"/>
      <c r="F570" s="908"/>
      <c r="G570" s="908"/>
      <c r="H570" s="908"/>
      <c r="I570" s="908"/>
      <c r="J570" s="1016"/>
      <c r="K570" s="900"/>
      <c r="L570" s="900"/>
    </row>
    <row r="571" spans="1:12" ht="15.75" customHeight="1">
      <c r="A571" s="908"/>
      <c r="B571" s="908"/>
      <c r="C571" s="908"/>
      <c r="D571" s="908"/>
      <c r="E571" s="908"/>
      <c r="F571" s="908"/>
      <c r="G571" s="908"/>
      <c r="H571" s="908"/>
      <c r="I571" s="908"/>
      <c r="J571" s="1016"/>
      <c r="K571" s="900"/>
      <c r="L571" s="900"/>
    </row>
    <row r="572" spans="1:12" ht="15.75" customHeight="1">
      <c r="A572" s="908"/>
      <c r="B572" s="908"/>
      <c r="C572" s="908"/>
      <c r="D572" s="908"/>
      <c r="E572" s="908"/>
      <c r="F572" s="908"/>
      <c r="G572" s="908"/>
      <c r="H572" s="908"/>
      <c r="I572" s="908"/>
      <c r="J572" s="1016"/>
      <c r="K572" s="900"/>
      <c r="L572" s="900"/>
    </row>
    <row r="573" spans="1:12" ht="15.75" customHeight="1">
      <c r="A573" s="908"/>
      <c r="B573" s="908"/>
      <c r="C573" s="908"/>
      <c r="D573" s="908"/>
      <c r="E573" s="908"/>
      <c r="F573" s="908"/>
      <c r="G573" s="908"/>
      <c r="H573" s="908"/>
      <c r="I573" s="908"/>
      <c r="J573" s="1016"/>
      <c r="K573" s="900"/>
      <c r="L573" s="900"/>
    </row>
    <row r="574" spans="1:12" ht="15.75" customHeight="1">
      <c r="A574" s="908"/>
      <c r="B574" s="908"/>
      <c r="C574" s="908"/>
      <c r="D574" s="908"/>
      <c r="E574" s="908"/>
      <c r="F574" s="908"/>
      <c r="G574" s="908"/>
      <c r="H574" s="908"/>
      <c r="I574" s="908"/>
      <c r="J574" s="1016"/>
      <c r="K574" s="900"/>
      <c r="L574" s="900"/>
    </row>
    <row r="575" spans="1:12" ht="15.75" customHeight="1">
      <c r="A575" s="908"/>
      <c r="B575" s="908"/>
      <c r="C575" s="908"/>
      <c r="D575" s="908"/>
      <c r="E575" s="908"/>
      <c r="F575" s="908"/>
      <c r="G575" s="908"/>
      <c r="H575" s="908"/>
      <c r="I575" s="908"/>
      <c r="J575" s="1016"/>
      <c r="K575" s="900"/>
      <c r="L575" s="900"/>
    </row>
    <row r="576" spans="1:12" ht="15.75" customHeight="1">
      <c r="A576" s="908"/>
      <c r="B576" s="908"/>
      <c r="C576" s="908"/>
      <c r="D576" s="908"/>
      <c r="E576" s="908"/>
      <c r="F576" s="908"/>
      <c r="G576" s="908"/>
      <c r="H576" s="908"/>
      <c r="I576" s="908"/>
      <c r="J576" s="1016"/>
      <c r="K576" s="900"/>
      <c r="L576" s="900"/>
    </row>
    <row r="577" spans="1:12" ht="15.75" customHeight="1">
      <c r="A577" s="908"/>
      <c r="B577" s="908"/>
      <c r="C577" s="908"/>
      <c r="D577" s="908"/>
      <c r="E577" s="908"/>
      <c r="F577" s="908"/>
      <c r="G577" s="908"/>
      <c r="H577" s="908"/>
      <c r="I577" s="908"/>
      <c r="J577" s="1016"/>
      <c r="K577" s="900"/>
      <c r="L577" s="900"/>
    </row>
    <row r="578" spans="1:12" ht="15.75" customHeight="1">
      <c r="A578" s="908"/>
      <c r="B578" s="908"/>
      <c r="C578" s="908"/>
      <c r="D578" s="908"/>
      <c r="E578" s="908"/>
      <c r="F578" s="908"/>
      <c r="G578" s="908"/>
      <c r="H578" s="908"/>
      <c r="I578" s="908"/>
      <c r="J578" s="1016"/>
      <c r="K578" s="900"/>
      <c r="L578" s="900"/>
    </row>
    <row r="579" spans="1:12" ht="15.75" customHeight="1">
      <c r="A579" s="908"/>
      <c r="B579" s="908"/>
      <c r="C579" s="908"/>
      <c r="D579" s="908"/>
      <c r="E579" s="908"/>
      <c r="F579" s="908"/>
      <c r="G579" s="908"/>
      <c r="H579" s="908"/>
      <c r="I579" s="908"/>
      <c r="J579" s="1016"/>
      <c r="K579" s="900"/>
      <c r="L579" s="900"/>
    </row>
    <row r="580" spans="1:12" ht="15.75" customHeight="1">
      <c r="A580" s="908"/>
      <c r="B580" s="908"/>
      <c r="C580" s="908"/>
      <c r="D580" s="908"/>
      <c r="E580" s="908"/>
      <c r="F580" s="908"/>
      <c r="G580" s="908"/>
      <c r="H580" s="908"/>
      <c r="I580" s="908"/>
      <c r="J580" s="1016"/>
      <c r="K580" s="900"/>
      <c r="L580" s="900"/>
    </row>
    <row r="581" spans="1:12" ht="15.75" customHeight="1">
      <c r="A581" s="908"/>
      <c r="B581" s="908"/>
      <c r="C581" s="908"/>
      <c r="D581" s="908"/>
      <c r="E581" s="908"/>
      <c r="F581" s="908"/>
      <c r="G581" s="908"/>
      <c r="H581" s="908"/>
      <c r="I581" s="908"/>
      <c r="J581" s="1016"/>
      <c r="K581" s="900"/>
      <c r="L581" s="900"/>
    </row>
    <row r="582" spans="1:12" ht="15.75" customHeight="1">
      <c r="A582" s="908"/>
      <c r="B582" s="908"/>
      <c r="C582" s="908"/>
      <c r="D582" s="908"/>
      <c r="E582" s="908"/>
      <c r="F582" s="908"/>
      <c r="G582" s="908"/>
      <c r="H582" s="908"/>
      <c r="I582" s="908"/>
      <c r="J582" s="1016"/>
      <c r="K582" s="900"/>
      <c r="L582" s="900"/>
    </row>
    <row r="583" spans="1:12" ht="15.75" customHeight="1">
      <c r="A583" s="908"/>
      <c r="B583" s="908"/>
      <c r="C583" s="908"/>
      <c r="D583" s="908"/>
      <c r="E583" s="908"/>
      <c r="F583" s="908"/>
      <c r="G583" s="908"/>
      <c r="H583" s="908"/>
      <c r="I583" s="908"/>
      <c r="J583" s="1016"/>
      <c r="K583" s="900"/>
      <c r="L583" s="900"/>
    </row>
    <row r="584" spans="1:12" ht="15.75" customHeight="1">
      <c r="A584" s="908"/>
      <c r="B584" s="908"/>
      <c r="C584" s="908"/>
      <c r="D584" s="908"/>
      <c r="E584" s="908"/>
      <c r="F584" s="908"/>
      <c r="G584" s="908"/>
      <c r="H584" s="908"/>
      <c r="I584" s="908"/>
      <c r="J584" s="1016"/>
      <c r="K584" s="900"/>
      <c r="L584" s="900"/>
    </row>
    <row r="585" spans="1:12" ht="15.75" customHeight="1">
      <c r="A585" s="908"/>
      <c r="B585" s="908"/>
      <c r="C585" s="908"/>
      <c r="D585" s="908"/>
      <c r="E585" s="908"/>
      <c r="F585" s="908"/>
      <c r="G585" s="908"/>
      <c r="H585" s="908"/>
      <c r="I585" s="908"/>
      <c r="J585" s="1016"/>
      <c r="K585" s="900"/>
      <c r="L585" s="900"/>
    </row>
    <row r="586" spans="1:12" ht="15.75" customHeight="1">
      <c r="A586" s="908"/>
      <c r="B586" s="908"/>
      <c r="C586" s="908"/>
      <c r="D586" s="908"/>
      <c r="E586" s="908"/>
      <c r="F586" s="908"/>
      <c r="G586" s="908"/>
      <c r="H586" s="908"/>
      <c r="I586" s="908"/>
      <c r="J586" s="1016"/>
      <c r="K586" s="900"/>
      <c r="L586" s="900"/>
    </row>
    <row r="587" spans="1:12" ht="15.75" customHeight="1">
      <c r="A587" s="908"/>
      <c r="B587" s="908"/>
      <c r="C587" s="908"/>
      <c r="D587" s="908"/>
      <c r="E587" s="908"/>
      <c r="F587" s="908"/>
      <c r="G587" s="908"/>
      <c r="H587" s="908"/>
      <c r="I587" s="908"/>
      <c r="J587" s="1016"/>
      <c r="K587" s="900"/>
      <c r="L587" s="900"/>
    </row>
    <row r="588" spans="1:12" ht="15.75" customHeight="1">
      <c r="A588" s="908"/>
      <c r="B588" s="908"/>
      <c r="C588" s="908"/>
      <c r="D588" s="908"/>
      <c r="E588" s="908"/>
      <c r="F588" s="908"/>
      <c r="G588" s="908"/>
      <c r="H588" s="908"/>
      <c r="I588" s="908"/>
      <c r="J588" s="1016"/>
      <c r="K588" s="900"/>
      <c r="L588" s="900"/>
    </row>
    <row r="589" spans="1:12" ht="15.75" customHeight="1">
      <c r="A589" s="908"/>
      <c r="B589" s="908"/>
      <c r="C589" s="908"/>
      <c r="D589" s="908"/>
      <c r="E589" s="908"/>
      <c r="F589" s="908"/>
      <c r="G589" s="908"/>
      <c r="H589" s="908"/>
      <c r="I589" s="908"/>
      <c r="J589" s="1016"/>
      <c r="K589" s="900"/>
      <c r="L589" s="900"/>
    </row>
    <row r="590" spans="1:12" ht="15.75" customHeight="1">
      <c r="A590" s="908"/>
      <c r="B590" s="908"/>
      <c r="C590" s="908"/>
      <c r="D590" s="908"/>
      <c r="E590" s="908"/>
      <c r="F590" s="908"/>
      <c r="G590" s="908"/>
      <c r="H590" s="908"/>
      <c r="I590" s="908"/>
      <c r="J590" s="1016"/>
      <c r="K590" s="900"/>
      <c r="L590" s="900"/>
    </row>
    <row r="591" spans="1:12" ht="15.75" customHeight="1">
      <c r="A591" s="908"/>
      <c r="B591" s="908"/>
      <c r="C591" s="908"/>
      <c r="D591" s="908"/>
      <c r="E591" s="908"/>
      <c r="F591" s="908"/>
      <c r="G591" s="908"/>
      <c r="H591" s="908"/>
      <c r="I591" s="908"/>
      <c r="J591" s="1016"/>
      <c r="K591" s="900"/>
      <c r="L591" s="900"/>
    </row>
    <row r="592" spans="1:12" ht="15.75" customHeight="1">
      <c r="A592" s="908"/>
      <c r="B592" s="908"/>
      <c r="C592" s="908"/>
      <c r="D592" s="908"/>
      <c r="E592" s="908"/>
      <c r="F592" s="908"/>
      <c r="G592" s="908"/>
      <c r="H592" s="908"/>
      <c r="I592" s="908"/>
      <c r="J592" s="1016"/>
      <c r="K592" s="900"/>
      <c r="L592" s="900"/>
    </row>
    <row r="593" spans="1:12" ht="15.75" customHeight="1">
      <c r="A593" s="908"/>
      <c r="B593" s="908"/>
      <c r="C593" s="908"/>
      <c r="D593" s="908"/>
      <c r="E593" s="908"/>
      <c r="F593" s="908"/>
      <c r="G593" s="908"/>
      <c r="H593" s="908"/>
      <c r="I593" s="908"/>
      <c r="J593" s="1016"/>
      <c r="K593" s="900"/>
      <c r="L593" s="900"/>
    </row>
    <row r="594" spans="1:12" ht="15.75" customHeight="1">
      <c r="A594" s="908"/>
      <c r="B594" s="908"/>
      <c r="C594" s="908"/>
      <c r="D594" s="908"/>
      <c r="E594" s="908"/>
      <c r="F594" s="908"/>
      <c r="G594" s="908"/>
      <c r="H594" s="908"/>
      <c r="I594" s="908"/>
      <c r="J594" s="1016"/>
      <c r="K594" s="900"/>
      <c r="L594" s="900"/>
    </row>
    <row r="595" spans="1:12" ht="15.75" customHeight="1">
      <c r="A595" s="908"/>
      <c r="B595" s="908"/>
      <c r="C595" s="908"/>
      <c r="D595" s="908"/>
      <c r="E595" s="908"/>
      <c r="F595" s="908"/>
      <c r="G595" s="908"/>
      <c r="H595" s="908"/>
      <c r="I595" s="908"/>
      <c r="J595" s="1016"/>
      <c r="K595" s="900"/>
      <c r="L595" s="900"/>
    </row>
    <row r="596" spans="1:12" ht="15.75" customHeight="1">
      <c r="A596" s="908"/>
      <c r="B596" s="908"/>
      <c r="C596" s="908"/>
      <c r="D596" s="908"/>
      <c r="E596" s="908"/>
      <c r="F596" s="908"/>
      <c r="G596" s="908"/>
      <c r="H596" s="908"/>
      <c r="I596" s="908"/>
      <c r="J596" s="1016"/>
      <c r="K596" s="900"/>
      <c r="L596" s="900"/>
    </row>
    <row r="597" spans="1:12" ht="15.75" customHeight="1">
      <c r="A597" s="908"/>
      <c r="B597" s="908"/>
      <c r="C597" s="908"/>
      <c r="D597" s="908"/>
      <c r="E597" s="908"/>
      <c r="F597" s="908"/>
      <c r="G597" s="908"/>
      <c r="H597" s="908"/>
      <c r="I597" s="908"/>
      <c r="J597" s="1016"/>
      <c r="K597" s="900"/>
      <c r="L597" s="900"/>
    </row>
    <row r="598" spans="1:12" ht="15.75" customHeight="1">
      <c r="A598" s="908"/>
      <c r="B598" s="908"/>
      <c r="C598" s="908"/>
      <c r="D598" s="908"/>
      <c r="E598" s="908"/>
      <c r="F598" s="908"/>
      <c r="G598" s="908"/>
      <c r="H598" s="908"/>
      <c r="I598" s="908"/>
      <c r="J598" s="1016"/>
      <c r="K598" s="900"/>
      <c r="L598" s="900"/>
    </row>
    <row r="599" spans="1:12" ht="15.75" customHeight="1">
      <c r="A599" s="908"/>
      <c r="B599" s="908"/>
      <c r="C599" s="908"/>
      <c r="D599" s="908"/>
      <c r="E599" s="908"/>
      <c r="F599" s="908"/>
      <c r="G599" s="908"/>
      <c r="H599" s="908"/>
      <c r="I599" s="908"/>
      <c r="J599" s="1016"/>
      <c r="K599" s="900"/>
      <c r="L599" s="900"/>
    </row>
    <row r="600" spans="1:12" ht="15.75" customHeight="1">
      <c r="A600" s="908"/>
      <c r="B600" s="908"/>
      <c r="C600" s="908"/>
      <c r="D600" s="908"/>
      <c r="E600" s="908"/>
      <c r="F600" s="908"/>
      <c r="G600" s="908"/>
      <c r="H600" s="908"/>
      <c r="I600" s="908"/>
      <c r="J600" s="1016"/>
      <c r="K600" s="900"/>
      <c r="L600" s="900"/>
    </row>
    <row r="601" spans="1:12" ht="15.75" customHeight="1">
      <c r="A601" s="908"/>
      <c r="B601" s="908"/>
      <c r="C601" s="908"/>
      <c r="D601" s="908"/>
      <c r="E601" s="908"/>
      <c r="F601" s="908"/>
      <c r="G601" s="908"/>
      <c r="H601" s="908"/>
      <c r="I601" s="908"/>
      <c r="J601" s="1016"/>
      <c r="K601" s="900"/>
      <c r="L601" s="900"/>
    </row>
    <row r="602" spans="1:12" ht="15.75" customHeight="1">
      <c r="A602" s="908"/>
      <c r="B602" s="908"/>
      <c r="C602" s="908"/>
      <c r="D602" s="908"/>
      <c r="E602" s="908"/>
      <c r="F602" s="908"/>
      <c r="G602" s="908"/>
      <c r="H602" s="908"/>
      <c r="I602" s="908"/>
      <c r="J602" s="1016"/>
      <c r="K602" s="900"/>
      <c r="L602" s="900"/>
    </row>
    <row r="603" spans="1:12" ht="15.75" customHeight="1">
      <c r="A603" s="908"/>
      <c r="B603" s="908"/>
      <c r="C603" s="908"/>
      <c r="D603" s="908"/>
      <c r="E603" s="908"/>
      <c r="F603" s="908"/>
      <c r="G603" s="908"/>
      <c r="H603" s="908"/>
      <c r="I603" s="908"/>
      <c r="J603" s="1016"/>
      <c r="K603" s="900"/>
      <c r="L603" s="900"/>
    </row>
    <row r="604" spans="1:12" ht="15.75" customHeight="1">
      <c r="A604" s="908"/>
      <c r="B604" s="908"/>
      <c r="C604" s="908"/>
      <c r="D604" s="908"/>
      <c r="E604" s="908"/>
      <c r="F604" s="908"/>
      <c r="G604" s="908"/>
      <c r="H604" s="908"/>
      <c r="I604" s="908"/>
      <c r="J604" s="1016"/>
      <c r="K604" s="900"/>
      <c r="L604" s="900"/>
    </row>
    <row r="605" spans="1:12" ht="15.75" customHeight="1">
      <c r="A605" s="908"/>
      <c r="B605" s="908"/>
      <c r="C605" s="908"/>
      <c r="D605" s="908"/>
      <c r="E605" s="908"/>
      <c r="F605" s="908"/>
      <c r="G605" s="908"/>
      <c r="H605" s="908"/>
      <c r="I605" s="908"/>
      <c r="J605" s="1016"/>
      <c r="K605" s="900"/>
      <c r="L605" s="900"/>
    </row>
    <row r="606" spans="1:12" ht="15.75" customHeight="1">
      <c r="A606" s="908"/>
      <c r="B606" s="908"/>
      <c r="C606" s="908"/>
      <c r="D606" s="908"/>
      <c r="E606" s="908"/>
      <c r="F606" s="908"/>
      <c r="G606" s="908"/>
      <c r="H606" s="908"/>
      <c r="I606" s="908"/>
      <c r="J606" s="1016"/>
      <c r="K606" s="900"/>
      <c r="L606" s="900"/>
    </row>
    <row r="607" spans="1:12" ht="15.75" customHeight="1">
      <c r="A607" s="908"/>
      <c r="B607" s="908"/>
      <c r="C607" s="908"/>
      <c r="D607" s="908"/>
      <c r="E607" s="908"/>
      <c r="F607" s="908"/>
      <c r="G607" s="908"/>
      <c r="H607" s="908"/>
      <c r="I607" s="908"/>
      <c r="J607" s="1016"/>
      <c r="K607" s="900"/>
      <c r="L607" s="900"/>
    </row>
    <row r="608" spans="1:12" ht="15.75" customHeight="1">
      <c r="A608" s="908"/>
      <c r="B608" s="908"/>
      <c r="C608" s="908"/>
      <c r="D608" s="908"/>
      <c r="E608" s="908"/>
      <c r="F608" s="908"/>
      <c r="G608" s="908"/>
      <c r="H608" s="908"/>
      <c r="I608" s="908"/>
      <c r="J608" s="1016"/>
      <c r="K608" s="900"/>
      <c r="L608" s="900"/>
    </row>
    <row r="609" spans="1:12" ht="15.75" customHeight="1">
      <c r="A609" s="908"/>
      <c r="B609" s="908"/>
      <c r="C609" s="908"/>
      <c r="D609" s="908"/>
      <c r="E609" s="908"/>
      <c r="F609" s="908"/>
      <c r="G609" s="908"/>
      <c r="H609" s="908"/>
      <c r="I609" s="908"/>
      <c r="J609" s="1016"/>
      <c r="K609" s="900"/>
      <c r="L609" s="900"/>
    </row>
    <row r="610" spans="1:12" ht="15.75" customHeight="1">
      <c r="A610" s="908"/>
      <c r="B610" s="908"/>
      <c r="C610" s="908"/>
      <c r="D610" s="908"/>
      <c r="E610" s="908"/>
      <c r="F610" s="908"/>
      <c r="G610" s="908"/>
      <c r="H610" s="908"/>
      <c r="I610" s="908"/>
      <c r="J610" s="1016"/>
      <c r="K610" s="900"/>
      <c r="L610" s="900"/>
    </row>
    <row r="611" spans="1:12" ht="15.75" customHeight="1">
      <c r="A611" s="908"/>
      <c r="B611" s="908"/>
      <c r="C611" s="908"/>
      <c r="D611" s="908"/>
      <c r="E611" s="908"/>
      <c r="F611" s="908"/>
      <c r="G611" s="908"/>
      <c r="H611" s="908"/>
      <c r="I611" s="908"/>
      <c r="J611" s="1016"/>
      <c r="K611" s="900"/>
      <c r="L611" s="900"/>
    </row>
    <row r="612" spans="1:12" ht="15.75" customHeight="1">
      <c r="A612" s="908"/>
      <c r="B612" s="908"/>
      <c r="C612" s="908"/>
      <c r="D612" s="908"/>
      <c r="E612" s="908"/>
      <c r="F612" s="908"/>
      <c r="G612" s="908"/>
      <c r="H612" s="908"/>
      <c r="I612" s="908"/>
      <c r="J612" s="1016"/>
      <c r="K612" s="900"/>
      <c r="L612" s="900"/>
    </row>
    <row r="613" spans="1:12" ht="15.75" customHeight="1">
      <c r="A613" s="908"/>
      <c r="B613" s="908"/>
      <c r="C613" s="908"/>
      <c r="D613" s="908"/>
      <c r="E613" s="908"/>
      <c r="F613" s="908"/>
      <c r="G613" s="908"/>
      <c r="H613" s="908"/>
      <c r="I613" s="908"/>
      <c r="J613" s="1016"/>
      <c r="K613" s="900"/>
      <c r="L613" s="900"/>
    </row>
    <row r="614" spans="1:12" ht="15.75" customHeight="1">
      <c r="A614" s="908"/>
      <c r="B614" s="908"/>
      <c r="C614" s="908"/>
      <c r="D614" s="908"/>
      <c r="E614" s="908"/>
      <c r="F614" s="908"/>
      <c r="G614" s="908"/>
      <c r="H614" s="908"/>
      <c r="I614" s="908"/>
      <c r="J614" s="1016"/>
      <c r="K614" s="900"/>
      <c r="L614" s="900"/>
    </row>
    <row r="615" spans="1:12" ht="15.75" customHeight="1">
      <c r="A615" s="908"/>
      <c r="B615" s="908"/>
      <c r="C615" s="908"/>
      <c r="D615" s="908"/>
      <c r="E615" s="908"/>
      <c r="F615" s="908"/>
      <c r="G615" s="908"/>
      <c r="H615" s="908"/>
      <c r="I615" s="908"/>
      <c r="J615" s="1016"/>
      <c r="K615" s="900"/>
      <c r="L615" s="900"/>
    </row>
    <row r="616" spans="1:12" ht="15.75" customHeight="1">
      <c r="A616" s="908"/>
      <c r="B616" s="908"/>
      <c r="C616" s="908"/>
      <c r="D616" s="908"/>
      <c r="E616" s="908"/>
      <c r="F616" s="908"/>
      <c r="G616" s="908"/>
      <c r="H616" s="908"/>
      <c r="I616" s="908"/>
      <c r="J616" s="1016"/>
      <c r="K616" s="900"/>
      <c r="L616" s="900"/>
    </row>
    <row r="617" spans="1:12" ht="15.75" customHeight="1">
      <c r="A617" s="908"/>
      <c r="B617" s="908"/>
      <c r="C617" s="908"/>
      <c r="D617" s="908"/>
      <c r="E617" s="908"/>
      <c r="F617" s="908"/>
      <c r="G617" s="908"/>
      <c r="H617" s="908"/>
      <c r="I617" s="908"/>
      <c r="J617" s="1016"/>
      <c r="K617" s="900"/>
      <c r="L617" s="900"/>
    </row>
    <row r="618" spans="1:12" ht="15.75" customHeight="1">
      <c r="A618" s="908"/>
      <c r="B618" s="908"/>
      <c r="C618" s="908"/>
      <c r="D618" s="908"/>
      <c r="E618" s="908"/>
      <c r="F618" s="908"/>
      <c r="G618" s="908"/>
      <c r="H618" s="908"/>
      <c r="I618" s="908"/>
      <c r="J618" s="1016"/>
      <c r="K618" s="900"/>
      <c r="L618" s="900"/>
    </row>
    <row r="619" spans="1:12" ht="15.75" customHeight="1">
      <c r="A619" s="908"/>
      <c r="B619" s="908"/>
      <c r="C619" s="908"/>
      <c r="D619" s="908"/>
      <c r="E619" s="908"/>
      <c r="F619" s="908"/>
      <c r="G619" s="908"/>
      <c r="H619" s="908"/>
      <c r="I619" s="908"/>
      <c r="J619" s="1016"/>
      <c r="K619" s="900"/>
      <c r="L619" s="900"/>
    </row>
    <row r="620" spans="1:12" ht="15.75" customHeight="1">
      <c r="A620" s="908"/>
      <c r="B620" s="908"/>
      <c r="C620" s="908"/>
      <c r="D620" s="908"/>
      <c r="E620" s="908"/>
      <c r="F620" s="908"/>
      <c r="G620" s="908"/>
      <c r="H620" s="908"/>
      <c r="I620" s="908"/>
      <c r="J620" s="1016"/>
      <c r="K620" s="900"/>
      <c r="L620" s="900"/>
    </row>
    <row r="621" spans="1:12" ht="15.75" customHeight="1">
      <c r="A621" s="908"/>
      <c r="B621" s="908"/>
      <c r="C621" s="908"/>
      <c r="D621" s="908"/>
      <c r="E621" s="908"/>
      <c r="F621" s="908"/>
      <c r="G621" s="908"/>
      <c r="H621" s="908"/>
      <c r="I621" s="908"/>
      <c r="J621" s="1016"/>
      <c r="K621" s="900"/>
      <c r="L621" s="900"/>
    </row>
    <row r="622" spans="1:12" ht="15.75" customHeight="1">
      <c r="A622" s="908"/>
      <c r="B622" s="908"/>
      <c r="C622" s="908"/>
      <c r="D622" s="908"/>
      <c r="E622" s="908"/>
      <c r="F622" s="908"/>
      <c r="G622" s="908"/>
      <c r="H622" s="908"/>
      <c r="I622" s="908"/>
      <c r="J622" s="1016"/>
      <c r="K622" s="900"/>
      <c r="L622" s="900"/>
    </row>
    <row r="623" spans="1:12" ht="15.75" customHeight="1">
      <c r="A623" s="908"/>
      <c r="B623" s="908"/>
      <c r="C623" s="908"/>
      <c r="D623" s="908"/>
      <c r="E623" s="908"/>
      <c r="F623" s="908"/>
      <c r="G623" s="908"/>
      <c r="H623" s="908"/>
      <c r="I623" s="908"/>
      <c r="J623" s="1016"/>
      <c r="K623" s="900"/>
      <c r="L623" s="900"/>
    </row>
    <row r="624" spans="1:12" ht="15.75" customHeight="1">
      <c r="A624" s="908"/>
      <c r="B624" s="908"/>
      <c r="C624" s="908"/>
      <c r="D624" s="908"/>
      <c r="E624" s="908"/>
      <c r="F624" s="908"/>
      <c r="G624" s="908"/>
      <c r="H624" s="908"/>
      <c r="I624" s="908"/>
      <c r="J624" s="1016"/>
      <c r="K624" s="900"/>
      <c r="L624" s="900"/>
    </row>
    <row r="625" spans="1:12" ht="15.75" customHeight="1">
      <c r="A625" s="908"/>
      <c r="B625" s="908"/>
      <c r="C625" s="908"/>
      <c r="D625" s="908"/>
      <c r="E625" s="908"/>
      <c r="F625" s="908"/>
      <c r="G625" s="908"/>
      <c r="H625" s="908"/>
      <c r="I625" s="908"/>
      <c r="J625" s="1016"/>
      <c r="K625" s="900"/>
      <c r="L625" s="900"/>
    </row>
    <row r="626" spans="1:12" ht="15.75" customHeight="1">
      <c r="A626" s="908"/>
      <c r="B626" s="908"/>
      <c r="C626" s="908"/>
      <c r="D626" s="908"/>
      <c r="E626" s="908"/>
      <c r="F626" s="908"/>
      <c r="G626" s="908"/>
      <c r="H626" s="908"/>
      <c r="I626" s="908"/>
      <c r="J626" s="1016"/>
      <c r="K626" s="900"/>
      <c r="L626" s="900"/>
    </row>
    <row r="627" spans="1:12" ht="15.75" customHeight="1">
      <c r="A627" s="908"/>
      <c r="B627" s="908"/>
      <c r="C627" s="908"/>
      <c r="D627" s="908"/>
      <c r="E627" s="908"/>
      <c r="F627" s="908"/>
      <c r="G627" s="908"/>
      <c r="H627" s="908"/>
      <c r="I627" s="908"/>
      <c r="J627" s="1016"/>
      <c r="K627" s="900"/>
      <c r="L627" s="900"/>
    </row>
    <row r="628" spans="1:12" ht="15.75" customHeight="1">
      <c r="A628" s="908"/>
      <c r="B628" s="908"/>
      <c r="C628" s="908"/>
      <c r="D628" s="908"/>
      <c r="E628" s="908"/>
      <c r="F628" s="908"/>
      <c r="G628" s="908"/>
      <c r="H628" s="908"/>
      <c r="I628" s="908"/>
      <c r="J628" s="1016"/>
      <c r="K628" s="900"/>
      <c r="L628" s="900"/>
    </row>
    <row r="629" spans="1:12" ht="15.75" customHeight="1">
      <c r="A629" s="908"/>
      <c r="B629" s="908"/>
      <c r="C629" s="908"/>
      <c r="D629" s="908"/>
      <c r="E629" s="908"/>
      <c r="F629" s="908"/>
      <c r="G629" s="908"/>
      <c r="H629" s="908"/>
      <c r="I629" s="908"/>
      <c r="J629" s="1016"/>
      <c r="K629" s="900"/>
      <c r="L629" s="900"/>
    </row>
    <row r="630" spans="1:12" ht="15.75" customHeight="1">
      <c r="A630" s="908"/>
      <c r="B630" s="908"/>
      <c r="C630" s="908"/>
      <c r="D630" s="908"/>
      <c r="E630" s="908"/>
      <c r="F630" s="908"/>
      <c r="G630" s="908"/>
      <c r="H630" s="908"/>
      <c r="I630" s="908"/>
      <c r="J630" s="1016"/>
      <c r="K630" s="900"/>
      <c r="L630" s="900"/>
    </row>
    <row r="631" spans="1:12" ht="15.75" customHeight="1">
      <c r="A631" s="908"/>
      <c r="B631" s="908"/>
      <c r="C631" s="908"/>
      <c r="D631" s="908"/>
      <c r="E631" s="908"/>
      <c r="F631" s="908"/>
      <c r="G631" s="908"/>
      <c r="H631" s="908"/>
      <c r="I631" s="908"/>
      <c r="J631" s="1016"/>
      <c r="K631" s="900"/>
      <c r="L631" s="900"/>
    </row>
    <row r="632" spans="1:12" ht="15.75" customHeight="1">
      <c r="A632" s="908"/>
      <c r="B632" s="908"/>
      <c r="C632" s="908"/>
      <c r="D632" s="908"/>
      <c r="E632" s="908"/>
      <c r="F632" s="908"/>
      <c r="G632" s="908"/>
      <c r="H632" s="908"/>
      <c r="I632" s="908"/>
      <c r="J632" s="1016"/>
      <c r="K632" s="900"/>
      <c r="L632" s="900"/>
    </row>
    <row r="633" spans="1:12" ht="15.75" customHeight="1">
      <c r="A633" s="908"/>
      <c r="B633" s="908"/>
      <c r="C633" s="908"/>
      <c r="D633" s="908"/>
      <c r="E633" s="908"/>
      <c r="F633" s="908"/>
      <c r="G633" s="908"/>
      <c r="H633" s="908"/>
      <c r="I633" s="908"/>
      <c r="J633" s="1016"/>
      <c r="K633" s="900"/>
      <c r="L633" s="900"/>
    </row>
    <row r="634" spans="1:12" ht="15.75" customHeight="1">
      <c r="A634" s="908"/>
      <c r="B634" s="908"/>
      <c r="C634" s="908"/>
      <c r="D634" s="908"/>
      <c r="E634" s="908"/>
      <c r="F634" s="908"/>
      <c r="G634" s="908"/>
      <c r="H634" s="908"/>
      <c r="I634" s="908"/>
      <c r="J634" s="1016"/>
      <c r="K634" s="900"/>
      <c r="L634" s="900"/>
    </row>
    <row r="635" spans="1:12" ht="15.75" customHeight="1">
      <c r="A635" s="908"/>
      <c r="B635" s="908"/>
      <c r="C635" s="908"/>
      <c r="D635" s="908"/>
      <c r="E635" s="908"/>
      <c r="F635" s="908"/>
      <c r="G635" s="908"/>
      <c r="H635" s="908"/>
      <c r="I635" s="908"/>
      <c r="J635" s="1016"/>
      <c r="K635" s="900"/>
      <c r="L635" s="900"/>
    </row>
    <row r="636" spans="1:12" ht="15.75" customHeight="1">
      <c r="A636" s="908"/>
      <c r="B636" s="908"/>
      <c r="C636" s="908"/>
      <c r="D636" s="908"/>
      <c r="E636" s="908"/>
      <c r="F636" s="908"/>
      <c r="G636" s="908"/>
      <c r="H636" s="908"/>
      <c r="I636" s="908"/>
      <c r="J636" s="1016"/>
      <c r="K636" s="900"/>
      <c r="L636" s="900"/>
    </row>
    <row r="637" spans="1:12" ht="15.75" customHeight="1">
      <c r="A637" s="908"/>
      <c r="B637" s="908"/>
      <c r="C637" s="908"/>
      <c r="D637" s="908"/>
      <c r="E637" s="908"/>
      <c r="F637" s="908"/>
      <c r="G637" s="908"/>
      <c r="H637" s="908"/>
      <c r="I637" s="908"/>
      <c r="J637" s="1016"/>
      <c r="K637" s="900"/>
      <c r="L637" s="900"/>
    </row>
    <row r="638" spans="1:12" ht="15.75" customHeight="1">
      <c r="A638" s="908"/>
      <c r="B638" s="908"/>
      <c r="C638" s="908"/>
      <c r="D638" s="908"/>
      <c r="E638" s="908"/>
      <c r="F638" s="908"/>
      <c r="G638" s="908"/>
      <c r="H638" s="908"/>
      <c r="I638" s="908"/>
      <c r="J638" s="1016"/>
      <c r="K638" s="900"/>
      <c r="L638" s="900"/>
    </row>
    <row r="639" spans="1:12" ht="15.75" customHeight="1">
      <c r="A639" s="908"/>
      <c r="B639" s="908"/>
      <c r="C639" s="908"/>
      <c r="D639" s="908"/>
      <c r="E639" s="908"/>
      <c r="F639" s="908"/>
      <c r="G639" s="908"/>
      <c r="H639" s="908"/>
      <c r="I639" s="908"/>
      <c r="J639" s="1016"/>
      <c r="K639" s="900"/>
      <c r="L639" s="900"/>
    </row>
    <row r="640" spans="1:12" ht="15.75" customHeight="1">
      <c r="A640" s="908"/>
      <c r="B640" s="908"/>
      <c r="C640" s="908"/>
      <c r="D640" s="908"/>
      <c r="E640" s="908"/>
      <c r="F640" s="908"/>
      <c r="G640" s="908"/>
      <c r="H640" s="908"/>
      <c r="I640" s="908"/>
      <c r="J640" s="1016"/>
      <c r="K640" s="900"/>
      <c r="L640" s="900"/>
    </row>
    <row r="641" spans="1:12" ht="15.75" customHeight="1">
      <c r="A641" s="908"/>
      <c r="B641" s="908"/>
      <c r="C641" s="908"/>
      <c r="D641" s="908"/>
      <c r="E641" s="908"/>
      <c r="F641" s="908"/>
      <c r="G641" s="908"/>
      <c r="H641" s="908"/>
      <c r="I641" s="908"/>
      <c r="J641" s="1016"/>
      <c r="K641" s="900"/>
      <c r="L641" s="900"/>
    </row>
    <row r="642" spans="1:12" ht="15.75" customHeight="1">
      <c r="A642" s="908"/>
      <c r="B642" s="908"/>
      <c r="C642" s="908"/>
      <c r="D642" s="908"/>
      <c r="E642" s="908"/>
      <c r="F642" s="908"/>
      <c r="G642" s="908"/>
      <c r="H642" s="908"/>
      <c r="I642" s="908"/>
      <c r="J642" s="1016"/>
      <c r="K642" s="900"/>
      <c r="L642" s="900"/>
    </row>
    <row r="643" spans="1:12" ht="15.75" customHeight="1">
      <c r="A643" s="908"/>
      <c r="B643" s="908"/>
      <c r="C643" s="908"/>
      <c r="D643" s="908"/>
      <c r="E643" s="908"/>
      <c r="F643" s="908"/>
      <c r="G643" s="908"/>
      <c r="H643" s="908"/>
      <c r="I643" s="908"/>
      <c r="J643" s="1016"/>
      <c r="K643" s="900"/>
      <c r="L643" s="900"/>
    </row>
    <row r="644" spans="1:12" ht="15.75" customHeight="1">
      <c r="A644" s="908"/>
      <c r="B644" s="908"/>
      <c r="C644" s="908"/>
      <c r="D644" s="908"/>
      <c r="E644" s="908"/>
      <c r="F644" s="908"/>
      <c r="G644" s="908"/>
      <c r="H644" s="908"/>
      <c r="I644" s="908"/>
      <c r="J644" s="1016"/>
      <c r="K644" s="900"/>
      <c r="L644" s="900"/>
    </row>
    <row r="645" spans="1:12" ht="15.75" customHeight="1">
      <c r="A645" s="908"/>
      <c r="B645" s="908"/>
      <c r="C645" s="908"/>
      <c r="D645" s="908"/>
      <c r="E645" s="908"/>
      <c r="F645" s="908"/>
      <c r="G645" s="908"/>
      <c r="H645" s="908"/>
      <c r="I645" s="908"/>
      <c r="J645" s="1016"/>
      <c r="K645" s="900"/>
      <c r="L645" s="900"/>
    </row>
    <row r="646" spans="1:12" ht="15.75" customHeight="1">
      <c r="A646" s="908"/>
      <c r="B646" s="908"/>
      <c r="C646" s="908"/>
      <c r="D646" s="908"/>
      <c r="E646" s="908"/>
      <c r="F646" s="908"/>
      <c r="G646" s="908"/>
      <c r="H646" s="908"/>
      <c r="I646" s="908"/>
      <c r="J646" s="1016"/>
      <c r="K646" s="900"/>
      <c r="L646" s="900"/>
    </row>
    <row r="647" spans="1:12" ht="15.75" customHeight="1">
      <c r="A647" s="908"/>
      <c r="B647" s="908"/>
      <c r="C647" s="908"/>
      <c r="D647" s="908"/>
      <c r="E647" s="908"/>
      <c r="F647" s="908"/>
      <c r="G647" s="908"/>
      <c r="H647" s="908"/>
      <c r="I647" s="908"/>
      <c r="J647" s="1016"/>
      <c r="K647" s="900"/>
      <c r="L647" s="900"/>
    </row>
    <row r="648" spans="1:12" ht="15.75" customHeight="1">
      <c r="A648" s="908"/>
      <c r="B648" s="908"/>
      <c r="C648" s="908"/>
      <c r="D648" s="908"/>
      <c r="E648" s="908"/>
      <c r="F648" s="908"/>
      <c r="G648" s="908"/>
      <c r="H648" s="908"/>
      <c r="I648" s="908"/>
      <c r="J648" s="1016"/>
      <c r="K648" s="900"/>
      <c r="L648" s="900"/>
    </row>
    <row r="649" spans="1:12" ht="15.75" customHeight="1">
      <c r="A649" s="908"/>
      <c r="B649" s="908"/>
      <c r="C649" s="908"/>
      <c r="D649" s="908"/>
      <c r="E649" s="908"/>
      <c r="F649" s="908"/>
      <c r="G649" s="908"/>
      <c r="H649" s="908"/>
      <c r="I649" s="908"/>
      <c r="J649" s="1016"/>
      <c r="K649" s="900"/>
      <c r="L649" s="900"/>
    </row>
    <row r="650" spans="1:12" ht="15.75" customHeight="1">
      <c r="A650" s="908"/>
      <c r="B650" s="908"/>
      <c r="C650" s="908"/>
      <c r="D650" s="908"/>
      <c r="E650" s="908"/>
      <c r="F650" s="908"/>
      <c r="G650" s="908"/>
      <c r="H650" s="908"/>
      <c r="I650" s="908"/>
      <c r="J650" s="1016"/>
      <c r="K650" s="900"/>
      <c r="L650" s="900"/>
    </row>
    <row r="651" spans="1:12" ht="15.75" customHeight="1">
      <c r="A651" s="908"/>
      <c r="B651" s="908"/>
      <c r="C651" s="908"/>
      <c r="D651" s="908"/>
      <c r="E651" s="908"/>
      <c r="F651" s="908"/>
      <c r="G651" s="908"/>
      <c r="H651" s="908"/>
      <c r="I651" s="908"/>
      <c r="J651" s="1016"/>
      <c r="K651" s="900"/>
      <c r="L651" s="900"/>
    </row>
    <row r="652" spans="1:12" ht="15.75" customHeight="1">
      <c r="A652" s="908"/>
      <c r="B652" s="908"/>
      <c r="C652" s="908"/>
      <c r="D652" s="908"/>
      <c r="E652" s="908"/>
      <c r="F652" s="908"/>
      <c r="G652" s="908"/>
      <c r="H652" s="908"/>
      <c r="I652" s="908"/>
      <c r="J652" s="1016"/>
      <c r="K652" s="900"/>
      <c r="L652" s="900"/>
    </row>
    <row r="653" spans="1:12" ht="15.75" customHeight="1">
      <c r="A653" s="908"/>
      <c r="B653" s="908"/>
      <c r="C653" s="908"/>
      <c r="D653" s="908"/>
      <c r="E653" s="908"/>
      <c r="F653" s="908"/>
      <c r="G653" s="908"/>
      <c r="H653" s="908"/>
      <c r="I653" s="908"/>
      <c r="J653" s="1016"/>
      <c r="K653" s="900"/>
      <c r="L653" s="900"/>
    </row>
    <row r="654" spans="1:12" ht="15.75" customHeight="1">
      <c r="A654" s="908"/>
      <c r="B654" s="908"/>
      <c r="C654" s="908"/>
      <c r="D654" s="908"/>
      <c r="E654" s="908"/>
      <c r="F654" s="908"/>
      <c r="G654" s="908"/>
      <c r="H654" s="908"/>
      <c r="I654" s="908"/>
      <c r="J654" s="1016"/>
      <c r="K654" s="900"/>
      <c r="L654" s="900"/>
    </row>
    <row r="655" spans="1:12" ht="15.75" customHeight="1">
      <c r="A655" s="908"/>
      <c r="B655" s="908"/>
      <c r="C655" s="908"/>
      <c r="D655" s="908"/>
      <c r="E655" s="908"/>
      <c r="F655" s="908"/>
      <c r="G655" s="908"/>
      <c r="H655" s="908"/>
      <c r="I655" s="908"/>
      <c r="J655" s="1016"/>
      <c r="K655" s="900"/>
      <c r="L655" s="900"/>
    </row>
    <row r="656" spans="1:12" ht="15.75" customHeight="1">
      <c r="A656" s="908"/>
      <c r="B656" s="908"/>
      <c r="C656" s="908"/>
      <c r="D656" s="908"/>
      <c r="E656" s="908"/>
      <c r="F656" s="908"/>
      <c r="G656" s="908"/>
      <c r="H656" s="908"/>
      <c r="I656" s="908"/>
      <c r="J656" s="1016"/>
      <c r="K656" s="900"/>
      <c r="L656" s="900"/>
    </row>
    <row r="657" spans="1:12" ht="15.75" customHeight="1">
      <c r="A657" s="908"/>
      <c r="B657" s="908"/>
      <c r="C657" s="908"/>
      <c r="D657" s="908"/>
      <c r="E657" s="908"/>
      <c r="F657" s="908"/>
      <c r="G657" s="908"/>
      <c r="H657" s="908"/>
      <c r="I657" s="908"/>
      <c r="J657" s="1016"/>
      <c r="K657" s="900"/>
      <c r="L657" s="900"/>
    </row>
    <row r="658" spans="1:12" ht="15.75" customHeight="1">
      <c r="A658" s="908"/>
      <c r="B658" s="908"/>
      <c r="C658" s="908"/>
      <c r="D658" s="908"/>
      <c r="E658" s="908"/>
      <c r="F658" s="908"/>
      <c r="G658" s="908"/>
      <c r="H658" s="908"/>
      <c r="I658" s="908"/>
      <c r="J658" s="1016"/>
      <c r="K658" s="900"/>
      <c r="L658" s="900"/>
    </row>
    <row r="659" spans="1:12" ht="15.75" customHeight="1">
      <c r="A659" s="908"/>
      <c r="B659" s="908"/>
      <c r="C659" s="908"/>
      <c r="D659" s="908"/>
      <c r="E659" s="908"/>
      <c r="F659" s="908"/>
      <c r="G659" s="908"/>
      <c r="H659" s="908"/>
      <c r="I659" s="908"/>
      <c r="J659" s="1016"/>
      <c r="K659" s="900"/>
      <c r="L659" s="900"/>
    </row>
    <row r="660" spans="1:12" ht="15.75" customHeight="1">
      <c r="A660" s="908"/>
      <c r="B660" s="908"/>
      <c r="C660" s="908"/>
      <c r="D660" s="908"/>
      <c r="E660" s="908"/>
      <c r="F660" s="908"/>
      <c r="G660" s="908"/>
      <c r="H660" s="908"/>
      <c r="I660" s="908"/>
      <c r="J660" s="1016"/>
      <c r="K660" s="900"/>
      <c r="L660" s="900"/>
    </row>
    <row r="661" spans="1:12" ht="15.75" customHeight="1">
      <c r="A661" s="908"/>
      <c r="B661" s="908"/>
      <c r="C661" s="908"/>
      <c r="D661" s="908"/>
      <c r="E661" s="908"/>
      <c r="F661" s="908"/>
      <c r="G661" s="908"/>
      <c r="H661" s="908"/>
      <c r="I661" s="908"/>
      <c r="J661" s="1016"/>
      <c r="K661" s="900"/>
      <c r="L661" s="900"/>
    </row>
    <row r="662" spans="1:12" ht="15.75" customHeight="1">
      <c r="A662" s="908"/>
      <c r="B662" s="908"/>
      <c r="C662" s="908"/>
      <c r="D662" s="908"/>
      <c r="E662" s="908"/>
      <c r="F662" s="908"/>
      <c r="G662" s="908"/>
      <c r="H662" s="908"/>
      <c r="I662" s="908"/>
      <c r="J662" s="1016"/>
      <c r="K662" s="900"/>
      <c r="L662" s="900"/>
    </row>
    <row r="663" spans="1:12" ht="15.75" customHeight="1">
      <c r="A663" s="908"/>
      <c r="B663" s="908"/>
      <c r="C663" s="908"/>
      <c r="D663" s="908"/>
      <c r="E663" s="908"/>
      <c r="F663" s="908"/>
      <c r="G663" s="908"/>
      <c r="H663" s="908"/>
      <c r="I663" s="908"/>
      <c r="J663" s="1016"/>
      <c r="K663" s="900"/>
      <c r="L663" s="900"/>
    </row>
    <row r="664" spans="1:12" ht="15.75" customHeight="1">
      <c r="A664" s="908"/>
      <c r="B664" s="908"/>
      <c r="C664" s="908"/>
      <c r="D664" s="908"/>
      <c r="E664" s="908"/>
      <c r="F664" s="908"/>
      <c r="G664" s="908"/>
      <c r="H664" s="908"/>
      <c r="I664" s="908"/>
      <c r="J664" s="1016"/>
      <c r="K664" s="900"/>
      <c r="L664" s="900"/>
    </row>
    <row r="665" spans="1:12" ht="15.75" customHeight="1">
      <c r="A665" s="908"/>
      <c r="B665" s="908"/>
      <c r="C665" s="908"/>
      <c r="D665" s="908"/>
      <c r="E665" s="908"/>
      <c r="F665" s="908"/>
      <c r="G665" s="908"/>
      <c r="H665" s="908"/>
      <c r="I665" s="908"/>
      <c r="J665" s="1016"/>
      <c r="K665" s="900"/>
      <c r="L665" s="900"/>
    </row>
    <row r="666" spans="1:12" ht="15.75" customHeight="1">
      <c r="A666" s="908"/>
      <c r="B666" s="908"/>
      <c r="C666" s="908"/>
      <c r="D666" s="908"/>
      <c r="E666" s="908"/>
      <c r="F666" s="908"/>
      <c r="G666" s="908"/>
      <c r="H666" s="908"/>
      <c r="I666" s="908"/>
      <c r="J666" s="1016"/>
      <c r="K666" s="900"/>
      <c r="L666" s="900"/>
    </row>
    <row r="667" spans="1:12" ht="15.75" customHeight="1">
      <c r="A667" s="908"/>
      <c r="B667" s="908"/>
      <c r="C667" s="908"/>
      <c r="D667" s="908"/>
      <c r="E667" s="908"/>
      <c r="F667" s="908"/>
      <c r="G667" s="908"/>
      <c r="H667" s="908"/>
      <c r="I667" s="908"/>
      <c r="J667" s="1016"/>
      <c r="K667" s="900"/>
      <c r="L667" s="900"/>
    </row>
    <row r="668" spans="1:12" ht="15.75" customHeight="1">
      <c r="A668" s="908"/>
      <c r="B668" s="908"/>
      <c r="C668" s="908"/>
      <c r="D668" s="908"/>
      <c r="E668" s="908"/>
      <c r="F668" s="908"/>
      <c r="G668" s="908"/>
      <c r="H668" s="908"/>
      <c r="I668" s="908"/>
      <c r="J668" s="1016"/>
      <c r="K668" s="900"/>
      <c r="L668" s="900"/>
    </row>
    <row r="669" spans="1:12" ht="15.75" customHeight="1">
      <c r="A669" s="908"/>
      <c r="B669" s="908"/>
      <c r="C669" s="908"/>
      <c r="D669" s="908"/>
      <c r="E669" s="908"/>
      <c r="F669" s="908"/>
      <c r="G669" s="908"/>
      <c r="H669" s="908"/>
      <c r="I669" s="908"/>
      <c r="J669" s="1016"/>
      <c r="K669" s="900"/>
      <c r="L669" s="900"/>
    </row>
    <row r="670" spans="1:12" ht="15.75" customHeight="1">
      <c r="A670" s="908"/>
      <c r="B670" s="908"/>
      <c r="C670" s="908"/>
      <c r="D670" s="908"/>
      <c r="E670" s="908"/>
      <c r="F670" s="908"/>
      <c r="G670" s="908"/>
      <c r="H670" s="908"/>
      <c r="I670" s="908"/>
      <c r="J670" s="1016"/>
      <c r="K670" s="900"/>
      <c r="L670" s="900"/>
    </row>
    <row r="671" spans="1:12" ht="15.75" customHeight="1">
      <c r="A671" s="908"/>
      <c r="B671" s="908"/>
      <c r="C671" s="908"/>
      <c r="D671" s="908"/>
      <c r="E671" s="908"/>
      <c r="F671" s="908"/>
      <c r="G671" s="908"/>
      <c r="H671" s="908"/>
      <c r="I671" s="908"/>
      <c r="J671" s="1016"/>
      <c r="K671" s="900"/>
      <c r="L671" s="900"/>
    </row>
    <row r="672" spans="1:12" ht="15.75" customHeight="1">
      <c r="A672" s="908"/>
      <c r="B672" s="908"/>
      <c r="C672" s="908"/>
      <c r="D672" s="908"/>
      <c r="E672" s="908"/>
      <c r="F672" s="908"/>
      <c r="G672" s="908"/>
      <c r="H672" s="908"/>
      <c r="I672" s="908"/>
      <c r="J672" s="1016"/>
      <c r="K672" s="900"/>
      <c r="L672" s="900"/>
    </row>
    <row r="673" spans="1:12" ht="15.75" customHeight="1">
      <c r="A673" s="908"/>
      <c r="B673" s="908"/>
      <c r="C673" s="908"/>
      <c r="D673" s="908"/>
      <c r="E673" s="908"/>
      <c r="F673" s="908"/>
      <c r="G673" s="908"/>
      <c r="H673" s="908"/>
      <c r="I673" s="908"/>
      <c r="J673" s="1016"/>
      <c r="K673" s="900"/>
      <c r="L673" s="900"/>
    </row>
    <row r="674" spans="1:12" ht="15.75" customHeight="1">
      <c r="A674" s="908"/>
      <c r="B674" s="908"/>
      <c r="C674" s="908"/>
      <c r="D674" s="908"/>
      <c r="E674" s="908"/>
      <c r="F674" s="908"/>
      <c r="G674" s="908"/>
      <c r="H674" s="908"/>
      <c r="I674" s="908"/>
      <c r="J674" s="1016"/>
      <c r="K674" s="900"/>
      <c r="L674" s="900"/>
    </row>
    <row r="675" spans="1:12" ht="15.75" customHeight="1">
      <c r="A675" s="908"/>
      <c r="B675" s="908"/>
      <c r="C675" s="908"/>
      <c r="D675" s="908"/>
      <c r="E675" s="908"/>
      <c r="F675" s="908"/>
      <c r="G675" s="908"/>
      <c r="H675" s="908"/>
      <c r="I675" s="908"/>
      <c r="J675" s="1016"/>
      <c r="K675" s="900"/>
      <c r="L675" s="900"/>
    </row>
    <row r="676" spans="1:12" ht="15.75" customHeight="1">
      <c r="A676" s="908"/>
      <c r="B676" s="908"/>
      <c r="C676" s="908"/>
      <c r="D676" s="908"/>
      <c r="E676" s="908"/>
      <c r="F676" s="908"/>
      <c r="G676" s="908"/>
      <c r="H676" s="908"/>
      <c r="I676" s="908"/>
      <c r="J676" s="1016"/>
      <c r="K676" s="900"/>
      <c r="L676" s="900"/>
    </row>
    <row r="677" spans="1:12" ht="15.75" customHeight="1">
      <c r="A677" s="908"/>
      <c r="B677" s="908"/>
      <c r="C677" s="908"/>
      <c r="D677" s="908"/>
      <c r="E677" s="908"/>
      <c r="F677" s="908"/>
      <c r="G677" s="908"/>
      <c r="H677" s="908"/>
      <c r="I677" s="908"/>
      <c r="J677" s="1016"/>
      <c r="K677" s="900"/>
      <c r="L677" s="900"/>
    </row>
    <row r="678" spans="1:12" ht="15.75" customHeight="1">
      <c r="A678" s="908"/>
      <c r="B678" s="908"/>
      <c r="C678" s="908"/>
      <c r="D678" s="908"/>
      <c r="E678" s="908"/>
      <c r="F678" s="908"/>
      <c r="G678" s="908"/>
      <c r="H678" s="908"/>
      <c r="I678" s="908"/>
      <c r="J678" s="1016"/>
      <c r="K678" s="900"/>
      <c r="L678" s="900"/>
    </row>
    <row r="679" spans="1:12" ht="15.75" customHeight="1">
      <c r="A679" s="908"/>
      <c r="B679" s="908"/>
      <c r="C679" s="908"/>
      <c r="D679" s="908"/>
      <c r="E679" s="908"/>
      <c r="F679" s="908"/>
      <c r="G679" s="908"/>
      <c r="H679" s="908"/>
      <c r="I679" s="908"/>
      <c r="J679" s="1016"/>
      <c r="K679" s="900"/>
      <c r="L679" s="900"/>
    </row>
    <row r="680" spans="1:12" ht="15.75" customHeight="1">
      <c r="A680" s="908"/>
      <c r="B680" s="908"/>
      <c r="C680" s="908"/>
      <c r="D680" s="908"/>
      <c r="E680" s="908"/>
      <c r="F680" s="908"/>
      <c r="G680" s="908"/>
      <c r="H680" s="908"/>
      <c r="I680" s="908"/>
      <c r="J680" s="1016"/>
      <c r="K680" s="900"/>
      <c r="L680" s="900"/>
    </row>
    <row r="681" spans="1:12" ht="15.75" customHeight="1">
      <c r="A681" s="908"/>
      <c r="B681" s="908"/>
      <c r="C681" s="908"/>
      <c r="D681" s="908"/>
      <c r="E681" s="908"/>
      <c r="F681" s="908"/>
      <c r="G681" s="908"/>
      <c r="H681" s="908"/>
      <c r="I681" s="908"/>
      <c r="J681" s="1016"/>
      <c r="K681" s="900"/>
      <c r="L681" s="900"/>
    </row>
    <row r="682" spans="1:12" ht="15.75" customHeight="1">
      <c r="A682" s="908"/>
      <c r="B682" s="908"/>
      <c r="C682" s="908"/>
      <c r="D682" s="908"/>
      <c r="E682" s="908"/>
      <c r="F682" s="908"/>
      <c r="G682" s="908"/>
      <c r="H682" s="908"/>
      <c r="I682" s="908"/>
      <c r="J682" s="1016"/>
      <c r="K682" s="900"/>
      <c r="L682" s="900"/>
    </row>
    <row r="683" spans="1:12" ht="15.75" customHeight="1">
      <c r="A683" s="908"/>
      <c r="B683" s="908"/>
      <c r="C683" s="908"/>
      <c r="D683" s="908"/>
      <c r="E683" s="908"/>
      <c r="F683" s="908"/>
      <c r="G683" s="908"/>
      <c r="H683" s="908"/>
      <c r="I683" s="908"/>
      <c r="J683" s="1016"/>
      <c r="K683" s="900"/>
      <c r="L683" s="900"/>
    </row>
    <row r="684" spans="1:12" ht="15.75" customHeight="1">
      <c r="A684" s="908"/>
      <c r="B684" s="908"/>
      <c r="C684" s="908"/>
      <c r="D684" s="908"/>
      <c r="E684" s="908"/>
      <c r="F684" s="908"/>
      <c r="G684" s="908"/>
      <c r="H684" s="908"/>
      <c r="I684" s="908"/>
      <c r="J684" s="1016"/>
      <c r="K684" s="900"/>
      <c r="L684" s="900"/>
    </row>
    <row r="685" spans="1:12" ht="15.75" customHeight="1">
      <c r="A685" s="908"/>
      <c r="B685" s="908"/>
      <c r="C685" s="908"/>
      <c r="D685" s="908"/>
      <c r="E685" s="908"/>
      <c r="F685" s="908"/>
      <c r="G685" s="908"/>
      <c r="H685" s="908"/>
      <c r="I685" s="908"/>
      <c r="J685" s="1016"/>
      <c r="K685" s="900"/>
      <c r="L685" s="900"/>
    </row>
    <row r="686" spans="1:12" ht="15.75" customHeight="1">
      <c r="A686" s="908"/>
      <c r="B686" s="908"/>
      <c r="C686" s="908"/>
      <c r="D686" s="908"/>
      <c r="E686" s="908"/>
      <c r="F686" s="908"/>
      <c r="G686" s="908"/>
      <c r="H686" s="908"/>
      <c r="I686" s="908"/>
      <c r="J686" s="1016"/>
      <c r="K686" s="900"/>
      <c r="L686" s="900"/>
    </row>
    <row r="687" spans="1:12" ht="15.75" customHeight="1">
      <c r="A687" s="908"/>
      <c r="B687" s="908"/>
      <c r="C687" s="908"/>
      <c r="D687" s="908"/>
      <c r="E687" s="908"/>
      <c r="F687" s="908"/>
      <c r="G687" s="908"/>
      <c r="H687" s="908"/>
      <c r="I687" s="908"/>
      <c r="J687" s="1016"/>
      <c r="K687" s="900"/>
      <c r="L687" s="900"/>
    </row>
    <row r="688" spans="1:12" ht="15.75" customHeight="1">
      <c r="A688" s="908"/>
      <c r="B688" s="908"/>
      <c r="C688" s="908"/>
      <c r="D688" s="908"/>
      <c r="E688" s="908"/>
      <c r="F688" s="908"/>
      <c r="G688" s="908"/>
      <c r="H688" s="908"/>
      <c r="I688" s="908"/>
      <c r="J688" s="1016"/>
      <c r="K688" s="900"/>
      <c r="L688" s="900"/>
    </row>
    <row r="689" spans="1:12" ht="15.75" customHeight="1">
      <c r="A689" s="908"/>
      <c r="B689" s="908"/>
      <c r="C689" s="908"/>
      <c r="D689" s="908"/>
      <c r="E689" s="908"/>
      <c r="F689" s="908"/>
      <c r="G689" s="908"/>
      <c r="H689" s="908"/>
      <c r="I689" s="908"/>
      <c r="J689" s="1016"/>
      <c r="K689" s="900"/>
      <c r="L689" s="900"/>
    </row>
    <row r="690" spans="1:12" ht="15.75" customHeight="1">
      <c r="A690" s="908"/>
      <c r="B690" s="908"/>
      <c r="C690" s="908"/>
      <c r="D690" s="908"/>
      <c r="E690" s="908"/>
      <c r="F690" s="908"/>
      <c r="G690" s="908"/>
      <c r="H690" s="908"/>
      <c r="I690" s="908"/>
      <c r="J690" s="1016"/>
      <c r="K690" s="900"/>
      <c r="L690" s="900"/>
    </row>
    <row r="691" spans="1:12" ht="15.75" customHeight="1">
      <c r="A691" s="908"/>
      <c r="B691" s="908"/>
      <c r="C691" s="908"/>
      <c r="D691" s="908"/>
      <c r="E691" s="908"/>
      <c r="F691" s="908"/>
      <c r="G691" s="908"/>
      <c r="H691" s="908"/>
      <c r="I691" s="908"/>
      <c r="J691" s="1016"/>
      <c r="K691" s="900"/>
      <c r="L691" s="900"/>
    </row>
    <row r="692" spans="1:12" ht="15.75" customHeight="1">
      <c r="A692" s="908"/>
      <c r="B692" s="908"/>
      <c r="C692" s="908"/>
      <c r="D692" s="908"/>
      <c r="E692" s="908"/>
      <c r="F692" s="908"/>
      <c r="G692" s="908"/>
      <c r="H692" s="908"/>
      <c r="I692" s="908"/>
      <c r="J692" s="1016"/>
      <c r="K692" s="900"/>
      <c r="L692" s="900"/>
    </row>
    <row r="693" spans="1:12" ht="15.75" customHeight="1">
      <c r="A693" s="908"/>
      <c r="B693" s="908"/>
      <c r="C693" s="908"/>
      <c r="D693" s="908"/>
      <c r="E693" s="908"/>
      <c r="F693" s="908"/>
      <c r="G693" s="908"/>
      <c r="H693" s="908"/>
      <c r="I693" s="908"/>
      <c r="J693" s="1016"/>
      <c r="K693" s="900"/>
      <c r="L693" s="900"/>
    </row>
    <row r="694" spans="1:12" ht="15.75" customHeight="1">
      <c r="A694" s="908"/>
      <c r="B694" s="908"/>
      <c r="C694" s="908"/>
      <c r="D694" s="908"/>
      <c r="E694" s="908"/>
      <c r="F694" s="908"/>
      <c r="G694" s="908"/>
      <c r="H694" s="908"/>
      <c r="I694" s="908"/>
      <c r="J694" s="1016"/>
      <c r="K694" s="900"/>
      <c r="L694" s="900"/>
    </row>
    <row r="695" spans="1:12" ht="15.75" customHeight="1">
      <c r="A695" s="908"/>
      <c r="B695" s="908"/>
      <c r="C695" s="908"/>
      <c r="D695" s="908"/>
      <c r="E695" s="908"/>
      <c r="F695" s="908"/>
      <c r="G695" s="908"/>
      <c r="H695" s="908"/>
      <c r="I695" s="908"/>
      <c r="J695" s="1016"/>
      <c r="K695" s="900"/>
      <c r="L695" s="900"/>
    </row>
    <row r="696" spans="1:12" ht="15.75" customHeight="1">
      <c r="A696" s="908"/>
      <c r="B696" s="908"/>
      <c r="C696" s="908"/>
      <c r="D696" s="908"/>
      <c r="E696" s="908"/>
      <c r="F696" s="908"/>
      <c r="G696" s="908"/>
      <c r="H696" s="908"/>
      <c r="I696" s="908"/>
      <c r="J696" s="1016"/>
      <c r="K696" s="900"/>
      <c r="L696" s="900"/>
    </row>
    <row r="697" spans="1:12" ht="15.75" customHeight="1">
      <c r="A697" s="908"/>
      <c r="B697" s="908"/>
      <c r="C697" s="908"/>
      <c r="D697" s="908"/>
      <c r="E697" s="908"/>
      <c r="F697" s="908"/>
      <c r="G697" s="908"/>
      <c r="H697" s="908"/>
      <c r="I697" s="908"/>
      <c r="J697" s="1016"/>
      <c r="K697" s="900"/>
      <c r="L697" s="900"/>
    </row>
    <row r="698" spans="1:12" ht="15.75" customHeight="1">
      <c r="A698" s="908"/>
      <c r="B698" s="908"/>
      <c r="C698" s="908"/>
      <c r="D698" s="908"/>
      <c r="E698" s="908"/>
      <c r="F698" s="908"/>
      <c r="G698" s="908"/>
      <c r="H698" s="908"/>
      <c r="I698" s="908"/>
      <c r="J698" s="1016"/>
      <c r="K698" s="900"/>
      <c r="L698" s="900"/>
    </row>
    <row r="699" spans="1:12" ht="15.75" customHeight="1">
      <c r="A699" s="908"/>
      <c r="B699" s="908"/>
      <c r="C699" s="908"/>
      <c r="D699" s="908"/>
      <c r="E699" s="908"/>
      <c r="F699" s="908"/>
      <c r="G699" s="908"/>
      <c r="H699" s="908"/>
      <c r="I699" s="908"/>
      <c r="J699" s="1016"/>
      <c r="K699" s="900"/>
      <c r="L699" s="900"/>
    </row>
    <row r="700" spans="1:12" ht="15.75" customHeight="1">
      <c r="A700" s="908"/>
      <c r="B700" s="908"/>
      <c r="C700" s="908"/>
      <c r="D700" s="908"/>
      <c r="E700" s="908"/>
      <c r="F700" s="908"/>
      <c r="G700" s="908"/>
      <c r="H700" s="908"/>
      <c r="I700" s="908"/>
      <c r="J700" s="1016"/>
      <c r="K700" s="900"/>
      <c r="L700" s="900"/>
    </row>
    <row r="701" spans="1:12" ht="15.75" customHeight="1">
      <c r="A701" s="908"/>
      <c r="B701" s="908"/>
      <c r="C701" s="908"/>
      <c r="D701" s="908"/>
      <c r="E701" s="908"/>
      <c r="F701" s="908"/>
      <c r="G701" s="908"/>
      <c r="H701" s="908"/>
      <c r="I701" s="908"/>
      <c r="J701" s="1016"/>
      <c r="K701" s="900"/>
      <c r="L701" s="900"/>
    </row>
    <row r="702" spans="1:12" ht="15.75" customHeight="1">
      <c r="A702" s="908"/>
      <c r="B702" s="908"/>
      <c r="C702" s="908"/>
      <c r="D702" s="908"/>
      <c r="E702" s="908"/>
      <c r="F702" s="908"/>
      <c r="G702" s="908"/>
      <c r="H702" s="908"/>
      <c r="I702" s="908"/>
      <c r="J702" s="1016"/>
      <c r="K702" s="900"/>
      <c r="L702" s="900"/>
    </row>
    <row r="703" spans="1:12" ht="15.75" customHeight="1">
      <c r="A703" s="908"/>
      <c r="B703" s="908"/>
      <c r="C703" s="908"/>
      <c r="D703" s="908"/>
      <c r="E703" s="908"/>
      <c r="F703" s="908"/>
      <c r="G703" s="908"/>
      <c r="H703" s="908"/>
      <c r="I703" s="908"/>
      <c r="J703" s="1016"/>
      <c r="K703" s="900"/>
      <c r="L703" s="900"/>
    </row>
    <row r="704" spans="1:12" ht="15.75" customHeight="1">
      <c r="A704" s="908"/>
      <c r="B704" s="908"/>
      <c r="C704" s="908"/>
      <c r="D704" s="908"/>
      <c r="E704" s="908"/>
      <c r="F704" s="908"/>
      <c r="G704" s="908"/>
      <c r="H704" s="908"/>
      <c r="I704" s="908"/>
      <c r="J704" s="1016"/>
      <c r="K704" s="900"/>
      <c r="L704" s="900"/>
    </row>
    <row r="705" spans="1:12" ht="15.75" customHeight="1">
      <c r="A705" s="908"/>
      <c r="B705" s="908"/>
      <c r="C705" s="908"/>
      <c r="D705" s="908"/>
      <c r="E705" s="908"/>
      <c r="F705" s="908"/>
      <c r="G705" s="908"/>
      <c r="H705" s="908"/>
      <c r="I705" s="908"/>
      <c r="J705" s="1016"/>
      <c r="K705" s="900"/>
      <c r="L705" s="900"/>
    </row>
    <row r="706" spans="1:12" ht="15.75" customHeight="1">
      <c r="A706" s="908"/>
      <c r="B706" s="908"/>
      <c r="C706" s="908"/>
      <c r="D706" s="908"/>
      <c r="E706" s="908"/>
      <c r="F706" s="908"/>
      <c r="G706" s="908"/>
      <c r="H706" s="908"/>
      <c r="I706" s="908"/>
      <c r="J706" s="1016"/>
      <c r="K706" s="900"/>
      <c r="L706" s="900"/>
    </row>
    <row r="707" spans="1:12" ht="15.75" customHeight="1">
      <c r="A707" s="908"/>
      <c r="B707" s="908"/>
      <c r="C707" s="908"/>
      <c r="D707" s="908"/>
      <c r="E707" s="908"/>
      <c r="F707" s="908"/>
      <c r="G707" s="908"/>
      <c r="H707" s="908"/>
      <c r="I707" s="908"/>
      <c r="J707" s="1016"/>
      <c r="K707" s="900"/>
      <c r="L707" s="900"/>
    </row>
    <row r="708" spans="1:12" ht="15.75" customHeight="1">
      <c r="A708" s="908"/>
      <c r="B708" s="908"/>
      <c r="C708" s="908"/>
      <c r="D708" s="908"/>
      <c r="E708" s="908"/>
      <c r="F708" s="908"/>
      <c r="G708" s="908"/>
      <c r="H708" s="908"/>
      <c r="I708" s="908"/>
      <c r="J708" s="1016"/>
      <c r="K708" s="900"/>
      <c r="L708" s="900"/>
    </row>
    <row r="709" spans="1:12" ht="15.75" customHeight="1">
      <c r="A709" s="908"/>
      <c r="B709" s="908"/>
      <c r="C709" s="908"/>
      <c r="D709" s="908"/>
      <c r="E709" s="908"/>
      <c r="F709" s="908"/>
      <c r="G709" s="908"/>
      <c r="H709" s="908"/>
      <c r="I709" s="908"/>
      <c r="J709" s="1016"/>
      <c r="K709" s="900"/>
      <c r="L709" s="900"/>
    </row>
    <row r="710" spans="1:12" ht="15.75" customHeight="1">
      <c r="A710" s="908"/>
      <c r="B710" s="908"/>
      <c r="C710" s="908"/>
      <c r="D710" s="908"/>
      <c r="E710" s="908"/>
      <c r="F710" s="908"/>
      <c r="G710" s="908"/>
      <c r="H710" s="908"/>
      <c r="I710" s="908"/>
      <c r="J710" s="1016"/>
      <c r="K710" s="900"/>
      <c r="L710" s="900"/>
    </row>
    <row r="711" spans="1:12" ht="15.75" customHeight="1">
      <c r="A711" s="908"/>
      <c r="B711" s="908"/>
      <c r="C711" s="908"/>
      <c r="D711" s="908"/>
      <c r="E711" s="908"/>
      <c r="F711" s="908"/>
      <c r="G711" s="908"/>
      <c r="H711" s="908"/>
      <c r="I711" s="908"/>
      <c r="J711" s="1016"/>
      <c r="K711" s="900"/>
      <c r="L711" s="900"/>
    </row>
    <row r="712" spans="1:12" ht="15.75" customHeight="1">
      <c r="A712" s="908"/>
      <c r="B712" s="908"/>
      <c r="C712" s="908"/>
      <c r="D712" s="908"/>
      <c r="E712" s="908"/>
      <c r="F712" s="908"/>
      <c r="G712" s="908"/>
      <c r="H712" s="908"/>
      <c r="I712" s="908"/>
      <c r="J712" s="1016"/>
      <c r="K712" s="900"/>
      <c r="L712" s="900"/>
    </row>
    <row r="713" spans="1:12" ht="15.75" customHeight="1">
      <c r="A713" s="908"/>
      <c r="B713" s="908"/>
      <c r="C713" s="908"/>
      <c r="D713" s="908"/>
      <c r="E713" s="908"/>
      <c r="F713" s="908"/>
      <c r="G713" s="908"/>
      <c r="H713" s="908"/>
      <c r="I713" s="908"/>
      <c r="J713" s="1016"/>
      <c r="K713" s="900"/>
      <c r="L713" s="900"/>
    </row>
    <row r="714" spans="1:12" ht="15.75" customHeight="1">
      <c r="A714" s="908"/>
      <c r="B714" s="908"/>
      <c r="C714" s="908"/>
      <c r="D714" s="908"/>
      <c r="E714" s="908"/>
      <c r="F714" s="908"/>
      <c r="G714" s="908"/>
      <c r="H714" s="908"/>
      <c r="I714" s="908"/>
      <c r="J714" s="1016"/>
      <c r="K714" s="900"/>
      <c r="L714" s="900"/>
    </row>
    <row r="715" spans="1:12" ht="15.75" customHeight="1">
      <c r="A715" s="908"/>
      <c r="B715" s="908"/>
      <c r="C715" s="908"/>
      <c r="D715" s="908"/>
      <c r="E715" s="908"/>
      <c r="F715" s="908"/>
      <c r="G715" s="908"/>
      <c r="H715" s="908"/>
      <c r="I715" s="908"/>
      <c r="J715" s="1016"/>
      <c r="K715" s="900"/>
      <c r="L715" s="900"/>
    </row>
    <row r="716" spans="1:12" ht="15.75" customHeight="1">
      <c r="A716" s="908"/>
      <c r="B716" s="908"/>
      <c r="C716" s="908"/>
      <c r="D716" s="908"/>
      <c r="E716" s="908"/>
      <c r="F716" s="908"/>
      <c r="G716" s="908"/>
      <c r="H716" s="908"/>
      <c r="I716" s="908"/>
      <c r="J716" s="1016"/>
      <c r="K716" s="900"/>
      <c r="L716" s="900"/>
    </row>
    <row r="717" spans="1:12" ht="15.75" customHeight="1">
      <c r="A717" s="908"/>
      <c r="B717" s="908"/>
      <c r="C717" s="908"/>
      <c r="D717" s="908"/>
      <c r="E717" s="908"/>
      <c r="F717" s="908"/>
      <c r="G717" s="908"/>
      <c r="H717" s="908"/>
      <c r="I717" s="908"/>
      <c r="J717" s="1016"/>
      <c r="K717" s="900"/>
      <c r="L717" s="900"/>
    </row>
    <row r="718" spans="1:12" ht="15.75" customHeight="1">
      <c r="A718" s="908"/>
      <c r="B718" s="908"/>
      <c r="C718" s="908"/>
      <c r="D718" s="908"/>
      <c r="E718" s="908"/>
      <c r="F718" s="908"/>
      <c r="G718" s="908"/>
      <c r="H718" s="908"/>
      <c r="I718" s="908"/>
      <c r="J718" s="1016"/>
      <c r="K718" s="900"/>
      <c r="L718" s="900"/>
    </row>
    <row r="719" spans="1:12" ht="15.75" customHeight="1">
      <c r="A719" s="908"/>
      <c r="B719" s="908"/>
      <c r="C719" s="908"/>
      <c r="D719" s="908"/>
      <c r="E719" s="908"/>
      <c r="F719" s="908"/>
      <c r="G719" s="908"/>
      <c r="H719" s="908"/>
      <c r="I719" s="908"/>
      <c r="J719" s="1016"/>
      <c r="K719" s="900"/>
      <c r="L719" s="900"/>
    </row>
    <row r="720" spans="1:12" ht="15.75" customHeight="1">
      <c r="A720" s="908"/>
      <c r="B720" s="908"/>
      <c r="C720" s="908"/>
      <c r="D720" s="908"/>
      <c r="E720" s="908"/>
      <c r="F720" s="908"/>
      <c r="G720" s="908"/>
      <c r="H720" s="908"/>
      <c r="I720" s="908"/>
      <c r="J720" s="1016"/>
      <c r="K720" s="900"/>
      <c r="L720" s="900"/>
    </row>
    <row r="721" spans="1:12" ht="15.75" customHeight="1">
      <c r="A721" s="908"/>
      <c r="B721" s="908"/>
      <c r="C721" s="908"/>
      <c r="D721" s="908"/>
      <c r="E721" s="908"/>
      <c r="F721" s="908"/>
      <c r="G721" s="908"/>
      <c r="H721" s="908"/>
      <c r="I721" s="908"/>
      <c r="J721" s="1016"/>
      <c r="K721" s="900"/>
      <c r="L721" s="900"/>
    </row>
    <row r="722" spans="1:12" ht="15.75" customHeight="1">
      <c r="A722" s="908"/>
      <c r="B722" s="908"/>
      <c r="C722" s="908"/>
      <c r="D722" s="908"/>
      <c r="E722" s="908"/>
      <c r="F722" s="908"/>
      <c r="G722" s="908"/>
      <c r="H722" s="908"/>
      <c r="I722" s="908"/>
      <c r="J722" s="1016"/>
      <c r="K722" s="900"/>
      <c r="L722" s="900"/>
    </row>
    <row r="723" spans="1:12" ht="15.75" customHeight="1">
      <c r="A723" s="908"/>
      <c r="B723" s="908"/>
      <c r="C723" s="908"/>
      <c r="D723" s="908"/>
      <c r="E723" s="908"/>
      <c r="F723" s="908"/>
      <c r="G723" s="908"/>
      <c r="H723" s="908"/>
      <c r="I723" s="908"/>
      <c r="J723" s="1016"/>
      <c r="K723" s="900"/>
      <c r="L723" s="900"/>
    </row>
    <row r="724" spans="1:12" ht="15.75" customHeight="1">
      <c r="A724" s="908"/>
      <c r="B724" s="908"/>
      <c r="C724" s="908"/>
      <c r="D724" s="908"/>
      <c r="E724" s="908"/>
      <c r="F724" s="908"/>
      <c r="G724" s="908"/>
      <c r="H724" s="908"/>
      <c r="I724" s="908"/>
      <c r="J724" s="1016"/>
      <c r="K724" s="900"/>
      <c r="L724" s="900"/>
    </row>
    <row r="725" spans="1:12" ht="15.75" customHeight="1">
      <c r="A725" s="908"/>
      <c r="B725" s="908"/>
      <c r="C725" s="908"/>
      <c r="D725" s="908"/>
      <c r="E725" s="908"/>
      <c r="F725" s="908"/>
      <c r="G725" s="908"/>
      <c r="H725" s="908"/>
      <c r="I725" s="908"/>
      <c r="J725" s="1016"/>
      <c r="K725" s="900"/>
      <c r="L725" s="900"/>
    </row>
    <row r="726" spans="1:12" ht="15.75" customHeight="1">
      <c r="A726" s="908"/>
      <c r="B726" s="908"/>
      <c r="C726" s="908"/>
      <c r="D726" s="908"/>
      <c r="E726" s="908"/>
      <c r="F726" s="908"/>
      <c r="G726" s="908"/>
      <c r="H726" s="908"/>
      <c r="I726" s="908"/>
      <c r="J726" s="1016"/>
      <c r="K726" s="900"/>
      <c r="L726" s="900"/>
    </row>
    <row r="727" spans="1:12" ht="15.75" customHeight="1">
      <c r="A727" s="908"/>
      <c r="B727" s="908"/>
      <c r="C727" s="908"/>
      <c r="D727" s="908"/>
      <c r="E727" s="908"/>
      <c r="F727" s="908"/>
      <c r="G727" s="908"/>
      <c r="H727" s="908"/>
      <c r="I727" s="908"/>
      <c r="J727" s="1016"/>
      <c r="K727" s="900"/>
      <c r="L727" s="900"/>
    </row>
    <row r="728" spans="1:12" ht="15.75" customHeight="1">
      <c r="A728" s="908"/>
      <c r="B728" s="908"/>
      <c r="C728" s="908"/>
      <c r="D728" s="908"/>
      <c r="E728" s="908"/>
      <c r="F728" s="908"/>
      <c r="G728" s="908"/>
      <c r="H728" s="908"/>
      <c r="I728" s="908"/>
      <c r="J728" s="1016"/>
      <c r="K728" s="900"/>
      <c r="L728" s="900"/>
    </row>
    <row r="729" spans="1:12" ht="15.75" customHeight="1">
      <c r="A729" s="908"/>
      <c r="B729" s="908"/>
      <c r="C729" s="908"/>
      <c r="D729" s="908"/>
      <c r="E729" s="908"/>
      <c r="F729" s="908"/>
      <c r="G729" s="908"/>
      <c r="H729" s="908"/>
      <c r="I729" s="908"/>
      <c r="J729" s="1016"/>
      <c r="K729" s="900"/>
      <c r="L729" s="900"/>
    </row>
    <row r="730" spans="1:12" ht="15.75" customHeight="1">
      <c r="A730" s="908"/>
      <c r="B730" s="908"/>
      <c r="C730" s="908"/>
      <c r="D730" s="908"/>
      <c r="E730" s="908"/>
      <c r="F730" s="908"/>
      <c r="G730" s="908"/>
      <c r="H730" s="908"/>
      <c r="I730" s="908"/>
      <c r="J730" s="1016"/>
      <c r="K730" s="900"/>
      <c r="L730" s="900"/>
    </row>
    <row r="731" spans="1:12" ht="15.75" customHeight="1">
      <c r="A731" s="908"/>
      <c r="B731" s="908"/>
      <c r="C731" s="908"/>
      <c r="D731" s="908"/>
      <c r="E731" s="908"/>
      <c r="F731" s="908"/>
      <c r="G731" s="908"/>
      <c r="H731" s="908"/>
      <c r="I731" s="908"/>
      <c r="J731" s="1016"/>
      <c r="K731" s="900"/>
      <c r="L731" s="900"/>
    </row>
    <row r="732" spans="1:12" ht="15.75" customHeight="1">
      <c r="A732" s="908"/>
      <c r="B732" s="908"/>
      <c r="C732" s="908"/>
      <c r="D732" s="908"/>
      <c r="E732" s="908"/>
      <c r="F732" s="908"/>
      <c r="G732" s="908"/>
      <c r="H732" s="908"/>
      <c r="I732" s="908"/>
      <c r="J732" s="1016"/>
      <c r="K732" s="900"/>
      <c r="L732" s="900"/>
    </row>
    <row r="733" spans="1:12" ht="15.75" customHeight="1">
      <c r="A733" s="908"/>
      <c r="B733" s="908"/>
      <c r="C733" s="908"/>
      <c r="D733" s="908"/>
      <c r="E733" s="908"/>
      <c r="F733" s="908"/>
      <c r="G733" s="908"/>
      <c r="H733" s="908"/>
      <c r="I733" s="908"/>
      <c r="J733" s="1016"/>
      <c r="K733" s="900"/>
      <c r="L733" s="900"/>
    </row>
    <row r="734" spans="1:12" ht="15.75" customHeight="1">
      <c r="A734" s="908"/>
      <c r="B734" s="908"/>
      <c r="C734" s="908"/>
      <c r="D734" s="908"/>
      <c r="E734" s="908"/>
      <c r="F734" s="908"/>
      <c r="G734" s="908"/>
      <c r="H734" s="908"/>
      <c r="I734" s="908"/>
      <c r="J734" s="1016"/>
      <c r="K734" s="900"/>
      <c r="L734" s="900"/>
    </row>
    <row r="735" spans="1:12" ht="15.75" customHeight="1">
      <c r="A735" s="908"/>
      <c r="B735" s="908"/>
      <c r="C735" s="908"/>
      <c r="D735" s="908"/>
      <c r="E735" s="908"/>
      <c r="F735" s="908"/>
      <c r="G735" s="908"/>
      <c r="H735" s="908"/>
      <c r="I735" s="908"/>
      <c r="J735" s="1016"/>
      <c r="K735" s="900"/>
      <c r="L735" s="900"/>
    </row>
    <row r="736" spans="1:12" ht="15.75" customHeight="1">
      <c r="A736" s="908"/>
      <c r="B736" s="908"/>
      <c r="C736" s="908"/>
      <c r="D736" s="908"/>
      <c r="E736" s="908"/>
      <c r="F736" s="908"/>
      <c r="G736" s="908"/>
      <c r="H736" s="908"/>
      <c r="I736" s="908"/>
      <c r="J736" s="1016"/>
      <c r="K736" s="900"/>
      <c r="L736" s="900"/>
    </row>
    <row r="737" spans="1:12" ht="15.75" customHeight="1">
      <c r="A737" s="908"/>
      <c r="B737" s="908"/>
      <c r="C737" s="908"/>
      <c r="D737" s="908"/>
      <c r="E737" s="908"/>
      <c r="F737" s="908"/>
      <c r="G737" s="908"/>
      <c r="H737" s="908"/>
      <c r="I737" s="908"/>
      <c r="J737" s="1016"/>
      <c r="K737" s="900"/>
      <c r="L737" s="900"/>
    </row>
    <row r="738" spans="1:12" ht="15.75" customHeight="1">
      <c r="A738" s="908"/>
      <c r="B738" s="908"/>
      <c r="C738" s="908"/>
      <c r="D738" s="908"/>
      <c r="E738" s="908"/>
      <c r="F738" s="908"/>
      <c r="G738" s="908"/>
      <c r="H738" s="908"/>
      <c r="I738" s="908"/>
      <c r="J738" s="1016"/>
      <c r="K738" s="900"/>
      <c r="L738" s="900"/>
    </row>
    <row r="739" spans="1:12" ht="15.75" customHeight="1">
      <c r="A739" s="908"/>
      <c r="B739" s="908"/>
      <c r="C739" s="908"/>
      <c r="D739" s="908"/>
      <c r="E739" s="908"/>
      <c r="F739" s="908"/>
      <c r="G739" s="908"/>
      <c r="H739" s="908"/>
      <c r="I739" s="908"/>
      <c r="J739" s="1016"/>
      <c r="K739" s="900"/>
      <c r="L739" s="900"/>
    </row>
    <row r="740" spans="1:12" ht="15.75" customHeight="1">
      <c r="A740" s="908"/>
      <c r="B740" s="908"/>
      <c r="C740" s="908"/>
      <c r="D740" s="908"/>
      <c r="E740" s="908"/>
      <c r="F740" s="908"/>
      <c r="G740" s="908"/>
      <c r="H740" s="908"/>
      <c r="I740" s="908"/>
      <c r="J740" s="1016"/>
      <c r="K740" s="900"/>
      <c r="L740" s="900"/>
    </row>
    <row r="741" spans="1:12" ht="15.75" customHeight="1">
      <c r="A741" s="908"/>
      <c r="B741" s="908"/>
      <c r="C741" s="908"/>
      <c r="D741" s="908"/>
      <c r="E741" s="908"/>
      <c r="F741" s="908"/>
      <c r="G741" s="908"/>
      <c r="H741" s="908"/>
      <c r="I741" s="908"/>
      <c r="J741" s="1016"/>
      <c r="K741" s="900"/>
      <c r="L741" s="900"/>
    </row>
    <row r="742" spans="1:12" ht="15.75" customHeight="1">
      <c r="A742" s="908"/>
      <c r="B742" s="908"/>
      <c r="C742" s="908"/>
      <c r="D742" s="908"/>
      <c r="E742" s="908"/>
      <c r="F742" s="908"/>
      <c r="G742" s="908"/>
      <c r="H742" s="908"/>
      <c r="I742" s="908"/>
      <c r="J742" s="1016"/>
      <c r="K742" s="900"/>
      <c r="L742" s="900"/>
    </row>
    <row r="743" spans="1:12" ht="15.75" customHeight="1">
      <c r="A743" s="908"/>
      <c r="B743" s="908"/>
      <c r="C743" s="908"/>
      <c r="D743" s="908"/>
      <c r="E743" s="908"/>
      <c r="F743" s="908"/>
      <c r="G743" s="908"/>
      <c r="H743" s="908"/>
      <c r="I743" s="908"/>
      <c r="J743" s="1016"/>
      <c r="K743" s="900"/>
      <c r="L743" s="900"/>
    </row>
    <row r="744" spans="1:12" ht="15.75" customHeight="1">
      <c r="A744" s="908"/>
      <c r="B744" s="908"/>
      <c r="C744" s="908"/>
      <c r="D744" s="908"/>
      <c r="E744" s="908"/>
      <c r="F744" s="908"/>
      <c r="G744" s="908"/>
      <c r="H744" s="908"/>
      <c r="I744" s="908"/>
      <c r="J744" s="1016"/>
      <c r="K744" s="900"/>
      <c r="L744" s="900"/>
    </row>
    <row r="745" spans="1:12" ht="15.75" customHeight="1">
      <c r="A745" s="908"/>
      <c r="B745" s="908"/>
      <c r="C745" s="908"/>
      <c r="D745" s="908"/>
      <c r="E745" s="908"/>
      <c r="F745" s="908"/>
      <c r="G745" s="908"/>
      <c r="H745" s="908"/>
      <c r="I745" s="908"/>
      <c r="J745" s="1016"/>
      <c r="K745" s="900"/>
      <c r="L745" s="900"/>
    </row>
    <row r="746" spans="1:12" ht="15.75" customHeight="1">
      <c r="A746" s="908"/>
      <c r="B746" s="908"/>
      <c r="C746" s="908"/>
      <c r="D746" s="908"/>
      <c r="E746" s="908"/>
      <c r="F746" s="908"/>
      <c r="G746" s="908"/>
      <c r="H746" s="908"/>
      <c r="I746" s="908"/>
      <c r="J746" s="1016"/>
      <c r="K746" s="900"/>
      <c r="L746" s="900"/>
    </row>
    <row r="747" spans="1:12" ht="15.75" customHeight="1">
      <c r="A747" s="908"/>
      <c r="B747" s="908"/>
      <c r="C747" s="908"/>
      <c r="D747" s="908"/>
      <c r="E747" s="908"/>
      <c r="F747" s="908"/>
      <c r="G747" s="908"/>
      <c r="H747" s="908"/>
      <c r="I747" s="908"/>
      <c r="J747" s="1016"/>
      <c r="K747" s="900"/>
      <c r="L747" s="900"/>
    </row>
    <row r="748" spans="1:12" ht="15.75" customHeight="1">
      <c r="A748" s="908"/>
      <c r="B748" s="908"/>
      <c r="C748" s="908"/>
      <c r="D748" s="908"/>
      <c r="E748" s="908"/>
      <c r="F748" s="908"/>
      <c r="G748" s="908"/>
      <c r="H748" s="908"/>
      <c r="I748" s="908"/>
      <c r="J748" s="1016"/>
      <c r="K748" s="900"/>
      <c r="L748" s="900"/>
    </row>
    <row r="749" spans="1:12" ht="15.75" customHeight="1">
      <c r="A749" s="908"/>
      <c r="B749" s="908"/>
      <c r="C749" s="908"/>
      <c r="D749" s="908"/>
      <c r="E749" s="908"/>
      <c r="F749" s="908"/>
      <c r="G749" s="908"/>
      <c r="H749" s="908"/>
      <c r="I749" s="908"/>
      <c r="J749" s="1016"/>
      <c r="K749" s="900"/>
      <c r="L749" s="900"/>
    </row>
    <row r="750" spans="1:12" ht="15.75" customHeight="1">
      <c r="A750" s="908"/>
      <c r="B750" s="908"/>
      <c r="C750" s="908"/>
      <c r="D750" s="908"/>
      <c r="E750" s="908"/>
      <c r="F750" s="908"/>
      <c r="G750" s="908"/>
      <c r="H750" s="908"/>
      <c r="I750" s="908"/>
      <c r="J750" s="1016"/>
      <c r="K750" s="900"/>
      <c r="L750" s="900"/>
    </row>
    <row r="751" spans="1:12" ht="15.75" customHeight="1">
      <c r="A751" s="908"/>
      <c r="B751" s="908"/>
      <c r="C751" s="908"/>
      <c r="D751" s="908"/>
      <c r="E751" s="908"/>
      <c r="F751" s="908"/>
      <c r="G751" s="908"/>
      <c r="H751" s="908"/>
      <c r="I751" s="908"/>
      <c r="J751" s="1016"/>
      <c r="K751" s="900"/>
      <c r="L751" s="900"/>
    </row>
    <row r="752" spans="1:12" ht="15.75" customHeight="1">
      <c r="A752" s="908"/>
      <c r="B752" s="908"/>
      <c r="C752" s="908"/>
      <c r="D752" s="908"/>
      <c r="E752" s="908"/>
      <c r="F752" s="908"/>
      <c r="G752" s="908"/>
      <c r="H752" s="908"/>
      <c r="I752" s="908"/>
      <c r="J752" s="1016"/>
      <c r="K752" s="900"/>
      <c r="L752" s="900"/>
    </row>
    <row r="753" spans="1:12" ht="15.75" customHeight="1">
      <c r="A753" s="908"/>
      <c r="B753" s="908"/>
      <c r="C753" s="908"/>
      <c r="D753" s="908"/>
      <c r="E753" s="908"/>
      <c r="F753" s="908"/>
      <c r="G753" s="908"/>
      <c r="H753" s="908"/>
      <c r="I753" s="908"/>
      <c r="J753" s="1016"/>
      <c r="K753" s="900"/>
      <c r="L753" s="900"/>
    </row>
    <row r="754" spans="1:12" ht="15.75" customHeight="1">
      <c r="A754" s="908"/>
      <c r="B754" s="908"/>
      <c r="C754" s="908"/>
      <c r="D754" s="908"/>
      <c r="E754" s="908"/>
      <c r="F754" s="908"/>
      <c r="G754" s="908"/>
      <c r="H754" s="908"/>
      <c r="I754" s="908"/>
      <c r="J754" s="1016"/>
      <c r="K754" s="900"/>
      <c r="L754" s="900"/>
    </row>
    <row r="755" spans="1:12" ht="15.75" customHeight="1">
      <c r="A755" s="908"/>
      <c r="B755" s="908"/>
      <c r="C755" s="908"/>
      <c r="D755" s="908"/>
      <c r="E755" s="908"/>
      <c r="F755" s="908"/>
      <c r="G755" s="908"/>
      <c r="H755" s="908"/>
      <c r="I755" s="908"/>
      <c r="J755" s="1016"/>
      <c r="K755" s="900"/>
      <c r="L755" s="900"/>
    </row>
    <row r="756" spans="1:12" ht="15.75" customHeight="1">
      <c r="A756" s="908"/>
      <c r="B756" s="908"/>
      <c r="C756" s="908"/>
      <c r="D756" s="908"/>
      <c r="E756" s="908"/>
      <c r="F756" s="908"/>
      <c r="G756" s="908"/>
      <c r="H756" s="908"/>
      <c r="I756" s="908"/>
      <c r="J756" s="1016"/>
      <c r="K756" s="900"/>
      <c r="L756" s="900"/>
    </row>
    <row r="757" spans="1:12" ht="15.75" customHeight="1">
      <c r="A757" s="908"/>
      <c r="B757" s="908"/>
      <c r="C757" s="908"/>
      <c r="D757" s="908"/>
      <c r="E757" s="908"/>
      <c r="F757" s="908"/>
      <c r="G757" s="908"/>
      <c r="H757" s="908"/>
      <c r="I757" s="908"/>
      <c r="J757" s="1016"/>
      <c r="K757" s="900"/>
      <c r="L757" s="900"/>
    </row>
    <row r="758" spans="1:12" ht="15.75" customHeight="1">
      <c r="A758" s="908"/>
      <c r="B758" s="908"/>
      <c r="C758" s="908"/>
      <c r="D758" s="908"/>
      <c r="E758" s="908"/>
      <c r="F758" s="908"/>
      <c r="G758" s="908"/>
      <c r="H758" s="908"/>
      <c r="I758" s="908"/>
      <c r="J758" s="1016"/>
      <c r="K758" s="900"/>
      <c r="L758" s="900"/>
    </row>
    <row r="759" spans="1:12" ht="15.75" customHeight="1">
      <c r="A759" s="908"/>
      <c r="B759" s="908"/>
      <c r="C759" s="908"/>
      <c r="D759" s="908"/>
      <c r="E759" s="908"/>
      <c r="F759" s="908"/>
      <c r="G759" s="908"/>
      <c r="H759" s="908"/>
      <c r="I759" s="908"/>
      <c r="J759" s="1016"/>
      <c r="K759" s="900"/>
      <c r="L759" s="900"/>
    </row>
    <row r="760" spans="1:12" ht="15.75" customHeight="1">
      <c r="A760" s="908"/>
      <c r="B760" s="908"/>
      <c r="C760" s="908"/>
      <c r="D760" s="908"/>
      <c r="E760" s="908"/>
      <c r="F760" s="908"/>
      <c r="G760" s="908"/>
      <c r="H760" s="908"/>
      <c r="I760" s="908"/>
      <c r="J760" s="1016"/>
      <c r="K760" s="900"/>
      <c r="L760" s="900"/>
    </row>
    <row r="761" spans="1:12" ht="15.75" customHeight="1">
      <c r="A761" s="908"/>
      <c r="B761" s="908"/>
      <c r="C761" s="908"/>
      <c r="D761" s="908"/>
      <c r="E761" s="908"/>
      <c r="F761" s="908"/>
      <c r="G761" s="908"/>
      <c r="H761" s="908"/>
      <c r="I761" s="908"/>
      <c r="J761" s="1016"/>
      <c r="K761" s="900"/>
      <c r="L761" s="900"/>
    </row>
    <row r="762" spans="1:12" ht="15.75" customHeight="1">
      <c r="A762" s="908"/>
      <c r="B762" s="908"/>
      <c r="C762" s="908"/>
      <c r="D762" s="908"/>
      <c r="E762" s="908"/>
      <c r="F762" s="908"/>
      <c r="G762" s="908"/>
      <c r="H762" s="908"/>
      <c r="I762" s="908"/>
      <c r="J762" s="1016"/>
      <c r="K762" s="900"/>
      <c r="L762" s="900"/>
    </row>
    <row r="763" spans="1:12" ht="15.75" customHeight="1">
      <c r="A763" s="908"/>
      <c r="B763" s="908"/>
      <c r="C763" s="908"/>
      <c r="D763" s="908"/>
      <c r="E763" s="908"/>
      <c r="F763" s="908"/>
      <c r="G763" s="908"/>
      <c r="H763" s="908"/>
      <c r="I763" s="908"/>
      <c r="J763" s="1016"/>
      <c r="K763" s="900"/>
      <c r="L763" s="900"/>
    </row>
    <row r="764" spans="1:12" ht="15.75" customHeight="1">
      <c r="A764" s="908"/>
      <c r="B764" s="908"/>
      <c r="C764" s="908"/>
      <c r="D764" s="908"/>
      <c r="E764" s="908"/>
      <c r="F764" s="908"/>
      <c r="G764" s="908"/>
      <c r="H764" s="908"/>
      <c r="I764" s="908"/>
      <c r="J764" s="1016"/>
      <c r="K764" s="900"/>
      <c r="L764" s="900"/>
    </row>
    <row r="765" spans="1:12" ht="15.75" customHeight="1">
      <c r="A765" s="908"/>
      <c r="B765" s="908"/>
      <c r="C765" s="908"/>
      <c r="D765" s="908"/>
      <c r="E765" s="908"/>
      <c r="F765" s="908"/>
      <c r="G765" s="908"/>
      <c r="H765" s="908"/>
      <c r="I765" s="908"/>
      <c r="J765" s="1016"/>
      <c r="K765" s="900"/>
      <c r="L765" s="900"/>
    </row>
    <row r="766" spans="1:12" ht="15.75" customHeight="1">
      <c r="A766" s="908"/>
      <c r="B766" s="908"/>
      <c r="C766" s="908"/>
      <c r="D766" s="908"/>
      <c r="E766" s="908"/>
      <c r="F766" s="908"/>
      <c r="G766" s="908"/>
      <c r="H766" s="908"/>
      <c r="I766" s="908"/>
      <c r="J766" s="1016"/>
      <c r="K766" s="900"/>
      <c r="L766" s="900"/>
    </row>
    <row r="767" spans="1:12" ht="15.75" customHeight="1">
      <c r="A767" s="908"/>
      <c r="B767" s="908"/>
      <c r="C767" s="908"/>
      <c r="D767" s="908"/>
      <c r="E767" s="908"/>
      <c r="F767" s="908"/>
      <c r="G767" s="908"/>
      <c r="H767" s="908"/>
      <c r="I767" s="908"/>
      <c r="J767" s="1016"/>
      <c r="K767" s="900"/>
      <c r="L767" s="900"/>
    </row>
    <row r="768" spans="1:12" ht="15.75" customHeight="1">
      <c r="A768" s="908"/>
      <c r="B768" s="908"/>
      <c r="C768" s="908"/>
      <c r="D768" s="908"/>
      <c r="E768" s="908"/>
      <c r="F768" s="908"/>
      <c r="G768" s="908"/>
      <c r="H768" s="908"/>
      <c r="I768" s="908"/>
      <c r="J768" s="1016"/>
      <c r="K768" s="900"/>
      <c r="L768" s="900"/>
    </row>
    <row r="769" spans="1:12" ht="15.75" customHeight="1">
      <c r="A769" s="908"/>
      <c r="B769" s="908"/>
      <c r="C769" s="908"/>
      <c r="D769" s="908"/>
      <c r="E769" s="908"/>
      <c r="F769" s="908"/>
      <c r="G769" s="908"/>
      <c r="H769" s="908"/>
      <c r="I769" s="908"/>
      <c r="J769" s="1016"/>
      <c r="K769" s="900"/>
      <c r="L769" s="900"/>
    </row>
    <row r="770" spans="1:12" ht="15.75" customHeight="1">
      <c r="A770" s="908"/>
      <c r="B770" s="908"/>
      <c r="C770" s="908"/>
      <c r="D770" s="908"/>
      <c r="E770" s="908"/>
      <c r="F770" s="908"/>
      <c r="G770" s="908"/>
      <c r="H770" s="908"/>
      <c r="I770" s="908"/>
      <c r="J770" s="1016"/>
      <c r="K770" s="900"/>
      <c r="L770" s="900"/>
    </row>
    <row r="771" spans="1:12" ht="15.75" customHeight="1">
      <c r="A771" s="908"/>
      <c r="B771" s="908"/>
      <c r="C771" s="908"/>
      <c r="D771" s="908"/>
      <c r="E771" s="908"/>
      <c r="F771" s="908"/>
      <c r="G771" s="908"/>
      <c r="H771" s="908"/>
      <c r="I771" s="908"/>
      <c r="J771" s="1016"/>
      <c r="K771" s="900"/>
      <c r="L771" s="900"/>
    </row>
    <row r="772" spans="1:12" ht="15.75" customHeight="1">
      <c r="A772" s="908"/>
      <c r="B772" s="908"/>
      <c r="C772" s="908"/>
      <c r="D772" s="908"/>
      <c r="E772" s="908"/>
      <c r="F772" s="908"/>
      <c r="G772" s="908"/>
      <c r="H772" s="908"/>
      <c r="I772" s="908"/>
      <c r="J772" s="1016"/>
      <c r="K772" s="900"/>
      <c r="L772" s="900"/>
    </row>
    <row r="773" spans="1:12" ht="15.75" customHeight="1">
      <c r="A773" s="908"/>
      <c r="B773" s="908"/>
      <c r="C773" s="908"/>
      <c r="D773" s="908"/>
      <c r="E773" s="908"/>
      <c r="F773" s="908"/>
      <c r="G773" s="908"/>
      <c r="H773" s="908"/>
      <c r="I773" s="908"/>
      <c r="J773" s="1016"/>
      <c r="K773" s="900"/>
      <c r="L773" s="900"/>
    </row>
    <row r="774" spans="1:12" ht="15.75" customHeight="1">
      <c r="A774" s="908"/>
      <c r="B774" s="908"/>
      <c r="C774" s="908"/>
      <c r="D774" s="908"/>
      <c r="E774" s="908"/>
      <c r="F774" s="908"/>
      <c r="G774" s="908"/>
      <c r="H774" s="908"/>
      <c r="I774" s="908"/>
      <c r="J774" s="1016"/>
      <c r="K774" s="900"/>
      <c r="L774" s="900"/>
    </row>
    <row r="775" spans="1:12" ht="15.75" customHeight="1">
      <c r="A775" s="908"/>
      <c r="B775" s="908"/>
      <c r="C775" s="908"/>
      <c r="D775" s="908"/>
      <c r="E775" s="908"/>
      <c r="F775" s="908"/>
      <c r="G775" s="908"/>
      <c r="H775" s="908"/>
      <c r="I775" s="908"/>
      <c r="J775" s="1016"/>
      <c r="K775" s="900"/>
      <c r="L775" s="900"/>
    </row>
    <row r="776" spans="1:12" ht="15.75" customHeight="1">
      <c r="A776" s="908"/>
      <c r="B776" s="908"/>
      <c r="C776" s="908"/>
      <c r="D776" s="908"/>
      <c r="E776" s="908"/>
      <c r="F776" s="908"/>
      <c r="G776" s="908"/>
      <c r="H776" s="908"/>
      <c r="I776" s="908"/>
      <c r="J776" s="1016"/>
      <c r="K776" s="900"/>
      <c r="L776" s="900"/>
    </row>
    <row r="777" spans="1:12" ht="15.75" customHeight="1">
      <c r="A777" s="908"/>
      <c r="B777" s="908"/>
      <c r="C777" s="908"/>
      <c r="D777" s="908"/>
      <c r="E777" s="908"/>
      <c r="F777" s="908"/>
      <c r="G777" s="908"/>
      <c r="H777" s="908"/>
      <c r="I777" s="908"/>
      <c r="J777" s="1016"/>
      <c r="K777" s="900"/>
      <c r="L777" s="900"/>
    </row>
    <row r="778" spans="1:12" ht="15.75" customHeight="1">
      <c r="A778" s="908"/>
      <c r="B778" s="908"/>
      <c r="C778" s="908"/>
      <c r="D778" s="908"/>
      <c r="E778" s="908"/>
      <c r="F778" s="908"/>
      <c r="G778" s="908"/>
      <c r="H778" s="908"/>
      <c r="I778" s="908"/>
      <c r="J778" s="1016"/>
      <c r="K778" s="900"/>
      <c r="L778" s="900"/>
    </row>
    <row r="779" spans="1:12" ht="15.75" customHeight="1">
      <c r="A779" s="908"/>
      <c r="B779" s="908"/>
      <c r="C779" s="908"/>
      <c r="D779" s="908"/>
      <c r="E779" s="908"/>
      <c r="F779" s="908"/>
      <c r="G779" s="908"/>
      <c r="H779" s="908"/>
      <c r="I779" s="908"/>
      <c r="J779" s="1016"/>
      <c r="K779" s="900"/>
      <c r="L779" s="900"/>
    </row>
    <row r="780" spans="1:12" ht="15.75" customHeight="1">
      <c r="A780" s="908"/>
      <c r="B780" s="908"/>
      <c r="C780" s="908"/>
      <c r="D780" s="908"/>
      <c r="E780" s="908"/>
      <c r="F780" s="908"/>
      <c r="G780" s="908"/>
      <c r="H780" s="908"/>
      <c r="I780" s="908"/>
      <c r="J780" s="1016"/>
      <c r="K780" s="900"/>
      <c r="L780" s="900"/>
    </row>
    <row r="781" spans="1:12" ht="15.75" customHeight="1">
      <c r="A781" s="908"/>
      <c r="B781" s="908"/>
      <c r="C781" s="908"/>
      <c r="D781" s="908"/>
      <c r="E781" s="908"/>
      <c r="F781" s="908"/>
      <c r="G781" s="908"/>
      <c r="H781" s="908"/>
      <c r="I781" s="908"/>
      <c r="J781" s="1016"/>
      <c r="K781" s="900"/>
      <c r="L781" s="900"/>
    </row>
    <row r="782" spans="1:12" ht="15.75" customHeight="1">
      <c r="A782" s="908"/>
      <c r="B782" s="908"/>
      <c r="C782" s="908"/>
      <c r="D782" s="908"/>
      <c r="E782" s="908"/>
      <c r="F782" s="908"/>
      <c r="G782" s="908"/>
      <c r="H782" s="908"/>
      <c r="I782" s="908"/>
      <c r="J782" s="1016"/>
      <c r="K782" s="900"/>
      <c r="L782" s="900"/>
    </row>
    <row r="783" spans="1:12" ht="15.75" customHeight="1">
      <c r="A783" s="908"/>
      <c r="B783" s="908"/>
      <c r="C783" s="908"/>
      <c r="D783" s="908"/>
      <c r="E783" s="908"/>
      <c r="F783" s="908"/>
      <c r="G783" s="908"/>
      <c r="H783" s="908"/>
      <c r="I783" s="908"/>
      <c r="J783" s="1016"/>
      <c r="K783" s="900"/>
      <c r="L783" s="900"/>
    </row>
    <row r="784" spans="1:12" ht="15.75" customHeight="1">
      <c r="A784" s="908"/>
      <c r="B784" s="908"/>
      <c r="C784" s="908"/>
      <c r="D784" s="908"/>
      <c r="E784" s="908"/>
      <c r="F784" s="908"/>
      <c r="G784" s="908"/>
      <c r="H784" s="908"/>
      <c r="I784" s="908"/>
      <c r="J784" s="1016"/>
      <c r="K784" s="900"/>
      <c r="L784" s="900"/>
    </row>
    <row r="785" spans="1:12" ht="15.75" customHeight="1">
      <c r="A785" s="908"/>
      <c r="B785" s="908"/>
      <c r="C785" s="908"/>
      <c r="D785" s="908"/>
      <c r="E785" s="908"/>
      <c r="F785" s="908"/>
      <c r="G785" s="908"/>
      <c r="H785" s="908"/>
      <c r="I785" s="908"/>
      <c r="J785" s="1016"/>
      <c r="K785" s="900"/>
      <c r="L785" s="900"/>
    </row>
    <row r="786" spans="1:12" ht="15.75" customHeight="1">
      <c r="A786" s="908"/>
      <c r="B786" s="908"/>
      <c r="C786" s="908"/>
      <c r="D786" s="908"/>
      <c r="E786" s="908"/>
      <c r="F786" s="908"/>
      <c r="G786" s="908"/>
      <c r="H786" s="908"/>
      <c r="I786" s="908"/>
      <c r="J786" s="1016"/>
      <c r="K786" s="900"/>
      <c r="L786" s="900"/>
    </row>
    <row r="787" spans="1:12" ht="15.75" customHeight="1">
      <c r="A787" s="908"/>
      <c r="B787" s="908"/>
      <c r="C787" s="908"/>
      <c r="D787" s="908"/>
      <c r="E787" s="908"/>
      <c r="F787" s="908"/>
      <c r="G787" s="908"/>
      <c r="H787" s="908"/>
      <c r="I787" s="908"/>
      <c r="J787" s="1016"/>
      <c r="K787" s="900"/>
      <c r="L787" s="900"/>
    </row>
    <row r="788" spans="1:12" ht="15.75" customHeight="1">
      <c r="A788" s="908"/>
      <c r="B788" s="908"/>
      <c r="C788" s="908"/>
      <c r="D788" s="908"/>
      <c r="E788" s="908"/>
      <c r="F788" s="908"/>
      <c r="G788" s="908"/>
      <c r="H788" s="908"/>
      <c r="I788" s="908"/>
      <c r="J788" s="1016"/>
      <c r="K788" s="900"/>
      <c r="L788" s="900"/>
    </row>
    <row r="789" spans="1:12" ht="15.75" customHeight="1">
      <c r="A789" s="908"/>
      <c r="B789" s="908"/>
      <c r="C789" s="908"/>
      <c r="D789" s="908"/>
      <c r="E789" s="908"/>
      <c r="F789" s="908"/>
      <c r="G789" s="908"/>
      <c r="H789" s="908"/>
      <c r="I789" s="908"/>
      <c r="J789" s="1016"/>
      <c r="K789" s="900"/>
      <c r="L789" s="900"/>
    </row>
    <row r="790" spans="1:12" ht="15.75" customHeight="1">
      <c r="A790" s="908"/>
      <c r="B790" s="908"/>
      <c r="C790" s="908"/>
      <c r="D790" s="908"/>
      <c r="E790" s="908"/>
      <c r="F790" s="908"/>
      <c r="G790" s="908"/>
      <c r="H790" s="908"/>
      <c r="I790" s="908"/>
      <c r="J790" s="1016"/>
      <c r="K790" s="900"/>
      <c r="L790" s="900"/>
    </row>
    <row r="791" spans="1:12" ht="15.75" customHeight="1">
      <c r="A791" s="908"/>
      <c r="B791" s="908"/>
      <c r="C791" s="908"/>
      <c r="D791" s="908"/>
      <c r="E791" s="908"/>
      <c r="F791" s="908"/>
      <c r="G791" s="908"/>
      <c r="H791" s="908"/>
      <c r="I791" s="908"/>
      <c r="J791" s="1016"/>
      <c r="K791" s="900"/>
      <c r="L791" s="900"/>
    </row>
    <row r="792" spans="1:12" ht="15.75" customHeight="1">
      <c r="A792" s="908"/>
      <c r="B792" s="908"/>
      <c r="C792" s="908"/>
      <c r="D792" s="908"/>
      <c r="E792" s="908"/>
      <c r="F792" s="908"/>
      <c r="G792" s="908"/>
      <c r="H792" s="908"/>
      <c r="I792" s="908"/>
      <c r="J792" s="1016"/>
      <c r="K792" s="900"/>
      <c r="L792" s="900"/>
    </row>
    <row r="793" spans="1:12" ht="15.75" customHeight="1">
      <c r="A793" s="908"/>
      <c r="B793" s="908"/>
      <c r="C793" s="908"/>
      <c r="D793" s="908"/>
      <c r="E793" s="908"/>
      <c r="F793" s="908"/>
      <c r="G793" s="908"/>
      <c r="H793" s="908"/>
      <c r="I793" s="908"/>
      <c r="J793" s="1016"/>
      <c r="K793" s="900"/>
      <c r="L793" s="900"/>
    </row>
    <row r="794" spans="1:12" ht="15.75" customHeight="1">
      <c r="A794" s="908"/>
      <c r="B794" s="908"/>
      <c r="C794" s="908"/>
      <c r="D794" s="908"/>
      <c r="E794" s="908"/>
      <c r="F794" s="908"/>
      <c r="G794" s="908"/>
      <c r="H794" s="908"/>
      <c r="I794" s="908"/>
      <c r="J794" s="1016"/>
      <c r="K794" s="900"/>
      <c r="L794" s="900"/>
    </row>
    <row r="795" spans="1:12" ht="15.75" customHeight="1">
      <c r="A795" s="908"/>
      <c r="B795" s="908"/>
      <c r="C795" s="908"/>
      <c r="D795" s="908"/>
      <c r="E795" s="908"/>
      <c r="F795" s="908"/>
      <c r="G795" s="908"/>
      <c r="H795" s="908"/>
      <c r="I795" s="908"/>
      <c r="J795" s="1016"/>
      <c r="K795" s="900"/>
      <c r="L795" s="900"/>
    </row>
    <row r="796" spans="1:12" ht="15.75" customHeight="1">
      <c r="A796" s="908"/>
      <c r="B796" s="908"/>
      <c r="C796" s="908"/>
      <c r="D796" s="908"/>
      <c r="E796" s="908"/>
      <c r="F796" s="908"/>
      <c r="G796" s="908"/>
      <c r="H796" s="908"/>
      <c r="I796" s="908"/>
      <c r="J796" s="1016"/>
      <c r="K796" s="900"/>
      <c r="L796" s="900"/>
    </row>
    <row r="797" spans="1:12" ht="15.75" customHeight="1">
      <c r="A797" s="908"/>
      <c r="B797" s="908"/>
      <c r="C797" s="908"/>
      <c r="D797" s="908"/>
      <c r="E797" s="908"/>
      <c r="F797" s="908"/>
      <c r="G797" s="908"/>
      <c r="H797" s="908"/>
      <c r="I797" s="908"/>
      <c r="J797" s="1016"/>
      <c r="K797" s="900"/>
      <c r="L797" s="900"/>
    </row>
    <row r="798" spans="1:12" ht="15.75" customHeight="1">
      <c r="A798" s="908"/>
      <c r="B798" s="908"/>
      <c r="C798" s="908"/>
      <c r="D798" s="908"/>
      <c r="E798" s="908"/>
      <c r="F798" s="908"/>
      <c r="G798" s="908"/>
      <c r="H798" s="908"/>
      <c r="I798" s="908"/>
      <c r="J798" s="1016"/>
      <c r="K798" s="900"/>
      <c r="L798" s="900"/>
    </row>
    <row r="799" spans="1:12" ht="15.75" customHeight="1">
      <c r="A799" s="908"/>
      <c r="B799" s="908"/>
      <c r="C799" s="908"/>
      <c r="D799" s="908"/>
      <c r="E799" s="908"/>
      <c r="F799" s="908"/>
      <c r="G799" s="908"/>
      <c r="H799" s="908"/>
      <c r="I799" s="908"/>
      <c r="J799" s="1016"/>
      <c r="K799" s="900"/>
      <c r="L799" s="900"/>
    </row>
    <row r="800" spans="1:12" ht="15.75" customHeight="1">
      <c r="A800" s="908"/>
      <c r="B800" s="908"/>
      <c r="C800" s="908"/>
      <c r="D800" s="908"/>
      <c r="E800" s="908"/>
      <c r="F800" s="908"/>
      <c r="G800" s="908"/>
      <c r="H800" s="908"/>
      <c r="I800" s="908"/>
      <c r="J800" s="1016"/>
      <c r="K800" s="900"/>
      <c r="L800" s="900"/>
    </row>
    <row r="801" spans="1:12" ht="15.75" customHeight="1">
      <c r="A801" s="908"/>
      <c r="B801" s="908"/>
      <c r="C801" s="908"/>
      <c r="D801" s="908"/>
      <c r="E801" s="908"/>
      <c r="F801" s="908"/>
      <c r="G801" s="908"/>
      <c r="H801" s="908"/>
      <c r="I801" s="908"/>
      <c r="J801" s="1016"/>
      <c r="K801" s="900"/>
      <c r="L801" s="900"/>
    </row>
    <row r="802" spans="1:12" ht="15.75" customHeight="1">
      <c r="A802" s="908"/>
      <c r="B802" s="908"/>
      <c r="C802" s="908"/>
      <c r="D802" s="908"/>
      <c r="E802" s="908"/>
      <c r="F802" s="908"/>
      <c r="G802" s="908"/>
      <c r="H802" s="908"/>
      <c r="I802" s="908"/>
      <c r="J802" s="1016"/>
      <c r="K802" s="900"/>
      <c r="L802" s="900"/>
    </row>
    <row r="803" spans="1:12" ht="15.75" customHeight="1">
      <c r="A803" s="908"/>
      <c r="B803" s="908"/>
      <c r="C803" s="908"/>
      <c r="D803" s="908"/>
      <c r="E803" s="908"/>
      <c r="F803" s="908"/>
      <c r="G803" s="908"/>
      <c r="H803" s="908"/>
      <c r="I803" s="908"/>
      <c r="J803" s="1016"/>
      <c r="K803" s="900"/>
      <c r="L803" s="900"/>
    </row>
    <row r="804" spans="1:12" ht="15.75" customHeight="1">
      <c r="A804" s="908"/>
      <c r="B804" s="908"/>
      <c r="C804" s="908"/>
      <c r="D804" s="908"/>
      <c r="E804" s="908"/>
      <c r="F804" s="908"/>
      <c r="G804" s="908"/>
      <c r="H804" s="908"/>
      <c r="I804" s="908"/>
      <c r="J804" s="1016"/>
      <c r="K804" s="900"/>
      <c r="L804" s="900"/>
    </row>
    <row r="805" spans="1:12" ht="15.75" customHeight="1">
      <c r="A805" s="908"/>
      <c r="B805" s="908"/>
      <c r="C805" s="908"/>
      <c r="D805" s="908"/>
      <c r="E805" s="908"/>
      <c r="F805" s="908"/>
      <c r="G805" s="908"/>
      <c r="H805" s="908"/>
      <c r="I805" s="908"/>
      <c r="J805" s="1016"/>
      <c r="K805" s="900"/>
      <c r="L805" s="900"/>
    </row>
    <row r="806" spans="1:12" ht="15.75" customHeight="1">
      <c r="A806" s="908"/>
      <c r="B806" s="908"/>
      <c r="C806" s="908"/>
      <c r="D806" s="908"/>
      <c r="E806" s="908"/>
      <c r="F806" s="908"/>
      <c r="G806" s="908"/>
      <c r="H806" s="908"/>
      <c r="I806" s="908"/>
      <c r="J806" s="1016"/>
      <c r="K806" s="900"/>
      <c r="L806" s="900"/>
    </row>
    <row r="807" spans="1:12" ht="15.75" customHeight="1">
      <c r="A807" s="908"/>
      <c r="B807" s="908"/>
      <c r="C807" s="908"/>
      <c r="D807" s="908"/>
      <c r="E807" s="908"/>
      <c r="F807" s="908"/>
      <c r="G807" s="908"/>
      <c r="H807" s="908"/>
      <c r="I807" s="908"/>
      <c r="J807" s="1016"/>
      <c r="K807" s="900"/>
      <c r="L807" s="900"/>
    </row>
    <row r="808" spans="1:12" ht="15.75" customHeight="1">
      <c r="A808" s="908"/>
      <c r="B808" s="908"/>
      <c r="C808" s="908"/>
      <c r="D808" s="908"/>
      <c r="E808" s="908"/>
      <c r="F808" s="908"/>
      <c r="G808" s="908"/>
      <c r="H808" s="908"/>
      <c r="I808" s="908"/>
      <c r="J808" s="1016"/>
      <c r="K808" s="900"/>
      <c r="L808" s="900"/>
    </row>
    <row r="809" spans="1:12" ht="15.75" customHeight="1">
      <c r="A809" s="908"/>
      <c r="B809" s="908"/>
      <c r="C809" s="908"/>
      <c r="D809" s="908"/>
      <c r="E809" s="908"/>
      <c r="F809" s="908"/>
      <c r="G809" s="908"/>
      <c r="H809" s="908"/>
      <c r="I809" s="908"/>
      <c r="J809" s="1016"/>
      <c r="K809" s="900"/>
      <c r="L809" s="900"/>
    </row>
    <row r="810" spans="1:12" ht="15.75" customHeight="1">
      <c r="A810" s="908"/>
      <c r="B810" s="908"/>
      <c r="C810" s="908"/>
      <c r="D810" s="908"/>
      <c r="E810" s="908"/>
      <c r="F810" s="908"/>
      <c r="G810" s="908"/>
      <c r="H810" s="908"/>
      <c r="I810" s="908"/>
      <c r="J810" s="1016"/>
      <c r="K810" s="900"/>
      <c r="L810" s="900"/>
    </row>
    <row r="811" spans="1:12" ht="15.75" customHeight="1">
      <c r="A811" s="908"/>
      <c r="B811" s="908"/>
      <c r="C811" s="908"/>
      <c r="D811" s="908"/>
      <c r="E811" s="908"/>
      <c r="F811" s="908"/>
      <c r="G811" s="908"/>
      <c r="H811" s="908"/>
      <c r="I811" s="908"/>
      <c r="J811" s="1016"/>
      <c r="K811" s="900"/>
      <c r="L811" s="900"/>
    </row>
    <row r="812" spans="1:12" ht="15.75" customHeight="1">
      <c r="A812" s="908"/>
      <c r="B812" s="908"/>
      <c r="C812" s="908"/>
      <c r="D812" s="908"/>
      <c r="E812" s="908"/>
      <c r="F812" s="908"/>
      <c r="G812" s="908"/>
      <c r="H812" s="908"/>
      <c r="I812" s="908"/>
      <c r="J812" s="1016"/>
      <c r="K812" s="900"/>
      <c r="L812" s="900"/>
    </row>
    <row r="813" spans="1:12" ht="15.75" customHeight="1">
      <c r="A813" s="908"/>
      <c r="B813" s="908"/>
      <c r="C813" s="908"/>
      <c r="D813" s="908"/>
      <c r="E813" s="908"/>
      <c r="F813" s="908"/>
      <c r="G813" s="908"/>
      <c r="H813" s="908"/>
      <c r="I813" s="908"/>
      <c r="J813" s="1016"/>
      <c r="K813" s="900"/>
      <c r="L813" s="900"/>
    </row>
    <row r="814" spans="1:12" ht="15.75" customHeight="1">
      <c r="A814" s="908"/>
      <c r="B814" s="908"/>
      <c r="C814" s="908"/>
      <c r="D814" s="908"/>
      <c r="E814" s="908"/>
      <c r="F814" s="908"/>
      <c r="G814" s="908"/>
      <c r="H814" s="908"/>
      <c r="I814" s="908"/>
      <c r="J814" s="1016"/>
      <c r="K814" s="900"/>
      <c r="L814" s="900"/>
    </row>
    <row r="815" spans="1:12" ht="15.75" customHeight="1">
      <c r="A815" s="908"/>
      <c r="B815" s="908"/>
      <c r="C815" s="908"/>
      <c r="D815" s="908"/>
      <c r="E815" s="908"/>
      <c r="F815" s="908"/>
      <c r="G815" s="908"/>
      <c r="H815" s="908"/>
      <c r="I815" s="908"/>
      <c r="J815" s="1016"/>
      <c r="K815" s="900"/>
      <c r="L815" s="900"/>
    </row>
    <row r="816" spans="1:12" ht="15.75" customHeight="1">
      <c r="A816" s="908"/>
      <c r="B816" s="908"/>
      <c r="C816" s="908"/>
      <c r="D816" s="908"/>
      <c r="E816" s="908"/>
      <c r="F816" s="908"/>
      <c r="G816" s="908"/>
      <c r="H816" s="908"/>
      <c r="I816" s="908"/>
      <c r="J816" s="1016"/>
      <c r="K816" s="900"/>
      <c r="L816" s="900"/>
    </row>
    <row r="817" spans="1:12" ht="15.75" customHeight="1">
      <c r="A817" s="908"/>
      <c r="B817" s="908"/>
      <c r="C817" s="908"/>
      <c r="D817" s="908"/>
      <c r="E817" s="908"/>
      <c r="F817" s="908"/>
      <c r="G817" s="908"/>
      <c r="H817" s="908"/>
      <c r="I817" s="908"/>
      <c r="J817" s="1016"/>
      <c r="K817" s="900"/>
      <c r="L817" s="900"/>
    </row>
    <row r="818" spans="1:12" ht="15.75" customHeight="1">
      <c r="A818" s="908"/>
      <c r="B818" s="908"/>
      <c r="C818" s="908"/>
      <c r="D818" s="908"/>
      <c r="E818" s="908"/>
      <c r="F818" s="908"/>
      <c r="G818" s="908"/>
      <c r="H818" s="908"/>
      <c r="I818" s="908"/>
      <c r="J818" s="1016"/>
      <c r="K818" s="900"/>
      <c r="L818" s="900"/>
    </row>
    <row r="819" spans="1:12" ht="15.75" customHeight="1">
      <c r="A819" s="908"/>
      <c r="B819" s="908"/>
      <c r="C819" s="908"/>
      <c r="D819" s="908"/>
      <c r="E819" s="908"/>
      <c r="F819" s="908"/>
      <c r="G819" s="908"/>
      <c r="H819" s="908"/>
      <c r="I819" s="908"/>
      <c r="J819" s="1016"/>
      <c r="K819" s="900"/>
      <c r="L819" s="900"/>
    </row>
    <row r="820" spans="1:12" ht="15.75" customHeight="1">
      <c r="A820" s="908"/>
      <c r="B820" s="908"/>
      <c r="C820" s="908"/>
      <c r="D820" s="908"/>
      <c r="E820" s="908"/>
      <c r="F820" s="908"/>
      <c r="G820" s="908"/>
      <c r="H820" s="908"/>
      <c r="I820" s="908"/>
      <c r="J820" s="1016"/>
      <c r="K820" s="900"/>
      <c r="L820" s="900"/>
    </row>
    <row r="821" spans="1:12" ht="15.75" customHeight="1">
      <c r="A821" s="908"/>
      <c r="B821" s="908"/>
      <c r="C821" s="908"/>
      <c r="D821" s="908"/>
      <c r="E821" s="908"/>
      <c r="F821" s="908"/>
      <c r="G821" s="908"/>
      <c r="H821" s="908"/>
      <c r="I821" s="908"/>
      <c r="J821" s="1016"/>
      <c r="K821" s="900"/>
      <c r="L821" s="900"/>
    </row>
    <row r="822" spans="1:12" ht="15.75" customHeight="1">
      <c r="A822" s="908"/>
      <c r="B822" s="908"/>
      <c r="C822" s="908"/>
      <c r="D822" s="908"/>
      <c r="E822" s="908"/>
      <c r="F822" s="908"/>
      <c r="G822" s="908"/>
      <c r="H822" s="908"/>
      <c r="I822" s="908"/>
      <c r="J822" s="1016"/>
      <c r="K822" s="900"/>
      <c r="L822" s="900"/>
    </row>
    <row r="823" spans="1:12" ht="15.75" customHeight="1">
      <c r="A823" s="908"/>
      <c r="B823" s="908"/>
      <c r="C823" s="908"/>
      <c r="D823" s="908"/>
      <c r="E823" s="908"/>
      <c r="F823" s="908"/>
      <c r="G823" s="908"/>
      <c r="H823" s="908"/>
      <c r="I823" s="908"/>
      <c r="J823" s="1016"/>
      <c r="K823" s="900"/>
      <c r="L823" s="900"/>
    </row>
    <row r="824" spans="1:12" ht="15.75" customHeight="1">
      <c r="A824" s="908"/>
      <c r="B824" s="908"/>
      <c r="C824" s="908"/>
      <c r="D824" s="908"/>
      <c r="E824" s="908"/>
      <c r="F824" s="908"/>
      <c r="G824" s="908"/>
      <c r="H824" s="908"/>
      <c r="I824" s="908"/>
      <c r="J824" s="1016"/>
      <c r="K824" s="900"/>
      <c r="L824" s="900"/>
    </row>
    <row r="825" spans="1:12" ht="15.75" customHeight="1">
      <c r="A825" s="908"/>
      <c r="B825" s="908"/>
      <c r="C825" s="908"/>
      <c r="D825" s="908"/>
      <c r="E825" s="908"/>
      <c r="F825" s="908"/>
      <c r="G825" s="908"/>
      <c r="H825" s="908"/>
      <c r="I825" s="908"/>
      <c r="J825" s="1016"/>
      <c r="K825" s="900"/>
      <c r="L825" s="900"/>
    </row>
    <row r="826" spans="1:12" ht="15.75" customHeight="1">
      <c r="A826" s="908"/>
      <c r="B826" s="908"/>
      <c r="C826" s="908"/>
      <c r="D826" s="908"/>
      <c r="E826" s="908"/>
      <c r="F826" s="908"/>
      <c r="G826" s="908"/>
      <c r="H826" s="908"/>
      <c r="I826" s="908"/>
      <c r="J826" s="1016"/>
      <c r="K826" s="900"/>
      <c r="L826" s="900"/>
    </row>
    <row r="827" spans="1:12" ht="15.75" customHeight="1">
      <c r="A827" s="908"/>
      <c r="B827" s="908"/>
      <c r="C827" s="908"/>
      <c r="D827" s="908"/>
      <c r="E827" s="908"/>
      <c r="F827" s="908"/>
      <c r="G827" s="908"/>
      <c r="H827" s="908"/>
      <c r="I827" s="908"/>
      <c r="J827" s="1016"/>
      <c r="K827" s="900"/>
      <c r="L827" s="900"/>
    </row>
    <row r="828" spans="1:12" ht="15.75" customHeight="1">
      <c r="A828" s="908"/>
      <c r="B828" s="908"/>
      <c r="C828" s="908"/>
      <c r="D828" s="908"/>
      <c r="E828" s="908"/>
      <c r="F828" s="908"/>
      <c r="G828" s="908"/>
      <c r="H828" s="908"/>
      <c r="I828" s="908"/>
      <c r="J828" s="1016"/>
      <c r="K828" s="900"/>
      <c r="L828" s="900"/>
    </row>
    <row r="829" spans="1:12" ht="15.75" customHeight="1">
      <c r="A829" s="908"/>
      <c r="B829" s="908"/>
      <c r="C829" s="908"/>
      <c r="D829" s="908"/>
      <c r="E829" s="908"/>
      <c r="F829" s="908"/>
      <c r="G829" s="908"/>
      <c r="H829" s="908"/>
      <c r="I829" s="908"/>
      <c r="J829" s="1016"/>
      <c r="K829" s="900"/>
      <c r="L829" s="900"/>
    </row>
    <row r="830" spans="1:12" ht="15.75" customHeight="1">
      <c r="A830" s="908"/>
      <c r="B830" s="908"/>
      <c r="C830" s="908"/>
      <c r="D830" s="908"/>
      <c r="E830" s="908"/>
      <c r="F830" s="908"/>
      <c r="G830" s="908"/>
      <c r="H830" s="908"/>
      <c r="I830" s="908"/>
      <c r="J830" s="1016"/>
      <c r="K830" s="900"/>
      <c r="L830" s="900"/>
    </row>
    <row r="831" spans="1:12" ht="15.75" customHeight="1">
      <c r="A831" s="908"/>
      <c r="B831" s="908"/>
      <c r="C831" s="908"/>
      <c r="D831" s="908"/>
      <c r="E831" s="908"/>
      <c r="F831" s="908"/>
      <c r="G831" s="908"/>
      <c r="H831" s="908"/>
      <c r="I831" s="908"/>
      <c r="J831" s="1016"/>
      <c r="K831" s="900"/>
      <c r="L831" s="900"/>
    </row>
    <row r="832" spans="1:12" ht="15.75" customHeight="1">
      <c r="A832" s="908"/>
      <c r="B832" s="908"/>
      <c r="C832" s="908"/>
      <c r="D832" s="908"/>
      <c r="E832" s="908"/>
      <c r="F832" s="908"/>
      <c r="G832" s="908"/>
      <c r="H832" s="908"/>
      <c r="I832" s="908"/>
      <c r="J832" s="1016"/>
      <c r="K832" s="900"/>
      <c r="L832" s="900"/>
    </row>
    <row r="833" spans="1:12" ht="15.75" customHeight="1">
      <c r="A833" s="908"/>
      <c r="B833" s="908"/>
      <c r="C833" s="908"/>
      <c r="D833" s="908"/>
      <c r="E833" s="908"/>
      <c r="F833" s="908"/>
      <c r="G833" s="908"/>
      <c r="H833" s="908"/>
      <c r="I833" s="908"/>
      <c r="J833" s="1016"/>
      <c r="K833" s="900"/>
      <c r="L833" s="900"/>
    </row>
    <row r="834" spans="1:12" ht="15.75" customHeight="1">
      <c r="A834" s="908"/>
      <c r="B834" s="908"/>
      <c r="C834" s="908"/>
      <c r="D834" s="908"/>
      <c r="E834" s="908"/>
      <c r="F834" s="908"/>
      <c r="G834" s="908"/>
      <c r="H834" s="908"/>
      <c r="I834" s="908"/>
      <c r="J834" s="1016"/>
      <c r="K834" s="900"/>
      <c r="L834" s="900"/>
    </row>
    <row r="835" spans="1:12" ht="15.75" customHeight="1">
      <c r="A835" s="908"/>
      <c r="B835" s="908"/>
      <c r="C835" s="908"/>
      <c r="D835" s="908"/>
      <c r="E835" s="908"/>
      <c r="F835" s="908"/>
      <c r="G835" s="908"/>
      <c r="H835" s="908"/>
      <c r="I835" s="908"/>
      <c r="J835" s="1016"/>
      <c r="K835" s="900"/>
      <c r="L835" s="900"/>
    </row>
    <row r="836" spans="1:12" ht="15.75" customHeight="1">
      <c r="A836" s="908"/>
      <c r="B836" s="908"/>
      <c r="C836" s="908"/>
      <c r="D836" s="908"/>
      <c r="E836" s="908"/>
      <c r="F836" s="908"/>
      <c r="G836" s="908"/>
      <c r="H836" s="908"/>
      <c r="I836" s="908"/>
      <c r="J836" s="1016"/>
      <c r="K836" s="900"/>
      <c r="L836" s="900"/>
    </row>
    <row r="837" spans="1:12" ht="15.75" customHeight="1">
      <c r="A837" s="908"/>
      <c r="B837" s="908"/>
      <c r="C837" s="908"/>
      <c r="D837" s="908"/>
      <c r="E837" s="908"/>
      <c r="F837" s="908"/>
      <c r="G837" s="908"/>
      <c r="H837" s="908"/>
      <c r="I837" s="908"/>
      <c r="J837" s="1016"/>
      <c r="K837" s="900"/>
      <c r="L837" s="900"/>
    </row>
    <row r="838" spans="1:12" ht="15.75" customHeight="1">
      <c r="A838" s="908"/>
      <c r="B838" s="908"/>
      <c r="C838" s="908"/>
      <c r="D838" s="908"/>
      <c r="E838" s="908"/>
      <c r="F838" s="908"/>
      <c r="G838" s="908"/>
      <c r="H838" s="908"/>
      <c r="I838" s="908"/>
      <c r="J838" s="1016"/>
      <c r="K838" s="900"/>
      <c r="L838" s="900"/>
    </row>
    <row r="839" spans="1:12" ht="15.75" customHeight="1">
      <c r="A839" s="908"/>
      <c r="B839" s="908"/>
      <c r="C839" s="908"/>
      <c r="D839" s="908"/>
      <c r="E839" s="908"/>
      <c r="F839" s="908"/>
      <c r="G839" s="908"/>
      <c r="H839" s="908"/>
      <c r="I839" s="908"/>
      <c r="J839" s="1016"/>
      <c r="K839" s="900"/>
      <c r="L839" s="900"/>
    </row>
    <row r="840" spans="1:12" ht="15.75" customHeight="1">
      <c r="A840" s="908"/>
      <c r="B840" s="908"/>
      <c r="C840" s="908"/>
      <c r="D840" s="908"/>
      <c r="E840" s="908"/>
      <c r="F840" s="908"/>
      <c r="G840" s="908"/>
      <c r="H840" s="908"/>
      <c r="I840" s="908"/>
      <c r="J840" s="1016"/>
      <c r="K840" s="900"/>
      <c r="L840" s="900"/>
    </row>
    <row r="841" spans="1:12" ht="15.75" customHeight="1">
      <c r="A841" s="908"/>
      <c r="B841" s="908"/>
      <c r="C841" s="908"/>
      <c r="D841" s="908"/>
      <c r="E841" s="908"/>
      <c r="F841" s="908"/>
      <c r="G841" s="908"/>
      <c r="H841" s="908"/>
      <c r="I841" s="908"/>
      <c r="J841" s="1016"/>
      <c r="K841" s="900"/>
      <c r="L841" s="900"/>
    </row>
    <row r="842" spans="1:12" ht="15.75" customHeight="1">
      <c r="A842" s="908"/>
      <c r="B842" s="908"/>
      <c r="C842" s="908"/>
      <c r="D842" s="908"/>
      <c r="E842" s="908"/>
      <c r="F842" s="908"/>
      <c r="G842" s="908"/>
      <c r="H842" s="908"/>
      <c r="I842" s="908"/>
      <c r="J842" s="1016"/>
      <c r="K842" s="900"/>
      <c r="L842" s="900"/>
    </row>
    <row r="843" spans="1:12" ht="15.75" customHeight="1">
      <c r="A843" s="908"/>
      <c r="B843" s="908"/>
      <c r="C843" s="908"/>
      <c r="D843" s="908"/>
      <c r="E843" s="908"/>
      <c r="F843" s="908"/>
      <c r="G843" s="908"/>
      <c r="H843" s="908"/>
      <c r="I843" s="908"/>
      <c r="J843" s="1016"/>
      <c r="K843" s="900"/>
      <c r="L843" s="900"/>
    </row>
    <row r="844" spans="1:12" ht="15.75" customHeight="1">
      <c r="A844" s="908"/>
      <c r="B844" s="908"/>
      <c r="C844" s="908"/>
      <c r="D844" s="908"/>
      <c r="E844" s="908"/>
      <c r="F844" s="908"/>
      <c r="G844" s="908"/>
      <c r="H844" s="908"/>
      <c r="I844" s="908"/>
      <c r="J844" s="1016"/>
      <c r="K844" s="900"/>
      <c r="L844" s="900"/>
    </row>
    <row r="845" spans="1:12" ht="15.75" customHeight="1">
      <c r="A845" s="908"/>
      <c r="B845" s="908"/>
      <c r="C845" s="908"/>
      <c r="D845" s="908"/>
      <c r="E845" s="908"/>
      <c r="F845" s="908"/>
      <c r="G845" s="908"/>
      <c r="H845" s="908"/>
      <c r="I845" s="908"/>
      <c r="J845" s="1016"/>
      <c r="K845" s="900"/>
      <c r="L845" s="900"/>
    </row>
    <row r="846" spans="1:12" ht="15.75" customHeight="1">
      <c r="A846" s="908"/>
      <c r="B846" s="908"/>
      <c r="C846" s="908"/>
      <c r="D846" s="908"/>
      <c r="E846" s="908"/>
      <c r="F846" s="908"/>
      <c r="G846" s="908"/>
      <c r="H846" s="908"/>
      <c r="I846" s="908"/>
      <c r="J846" s="1016"/>
      <c r="K846" s="900"/>
      <c r="L846" s="900"/>
    </row>
    <row r="847" spans="1:12" ht="15.75" customHeight="1">
      <c r="A847" s="908"/>
      <c r="B847" s="908"/>
      <c r="C847" s="908"/>
      <c r="D847" s="908"/>
      <c r="E847" s="908"/>
      <c r="F847" s="908"/>
      <c r="G847" s="908"/>
      <c r="H847" s="908"/>
      <c r="I847" s="908"/>
      <c r="J847" s="1016"/>
      <c r="K847" s="900"/>
      <c r="L847" s="900"/>
    </row>
    <row r="848" spans="1:12" ht="15.75" customHeight="1">
      <c r="A848" s="908"/>
      <c r="B848" s="908"/>
      <c r="C848" s="908"/>
      <c r="D848" s="908"/>
      <c r="E848" s="908"/>
      <c r="F848" s="908"/>
      <c r="G848" s="908"/>
      <c r="H848" s="908"/>
      <c r="I848" s="908"/>
      <c r="J848" s="1016"/>
      <c r="K848" s="900"/>
      <c r="L848" s="900"/>
    </row>
    <row r="849" spans="1:12" ht="15.75" customHeight="1">
      <c r="A849" s="908"/>
      <c r="B849" s="908"/>
      <c r="C849" s="908"/>
      <c r="D849" s="908"/>
      <c r="E849" s="908"/>
      <c r="F849" s="908"/>
      <c r="G849" s="908"/>
      <c r="H849" s="908"/>
      <c r="I849" s="908"/>
      <c r="J849" s="1016"/>
      <c r="K849" s="900"/>
      <c r="L849" s="900"/>
    </row>
    <row r="850" spans="1:12" ht="15.75" customHeight="1">
      <c r="A850" s="908"/>
      <c r="B850" s="908"/>
      <c r="C850" s="908"/>
      <c r="D850" s="908"/>
      <c r="E850" s="908"/>
      <c r="F850" s="908"/>
      <c r="G850" s="908"/>
      <c r="H850" s="908"/>
      <c r="I850" s="908"/>
      <c r="J850" s="1016"/>
      <c r="K850" s="900"/>
      <c r="L850" s="900"/>
    </row>
    <row r="851" spans="1:12" ht="15.75" customHeight="1">
      <c r="A851" s="908"/>
      <c r="B851" s="908"/>
      <c r="C851" s="908"/>
      <c r="D851" s="908"/>
      <c r="E851" s="908"/>
      <c r="F851" s="908"/>
      <c r="G851" s="908"/>
      <c r="H851" s="908"/>
      <c r="I851" s="908"/>
      <c r="J851" s="1016"/>
      <c r="K851" s="900"/>
      <c r="L851" s="900"/>
    </row>
    <row r="852" spans="1:12" ht="15.75" customHeight="1">
      <c r="A852" s="908"/>
      <c r="B852" s="908"/>
      <c r="C852" s="908"/>
      <c r="D852" s="908"/>
      <c r="E852" s="908"/>
      <c r="F852" s="908"/>
      <c r="G852" s="908"/>
      <c r="H852" s="908"/>
      <c r="I852" s="908"/>
      <c r="J852" s="1016"/>
      <c r="K852" s="900"/>
      <c r="L852" s="900"/>
    </row>
    <row r="853" spans="1:12" ht="15.75" customHeight="1">
      <c r="A853" s="908"/>
      <c r="B853" s="908"/>
      <c r="C853" s="908"/>
      <c r="D853" s="908"/>
      <c r="E853" s="908"/>
      <c r="F853" s="908"/>
      <c r="G853" s="908"/>
      <c r="H853" s="908"/>
      <c r="I853" s="908"/>
      <c r="J853" s="1016"/>
      <c r="K853" s="900"/>
      <c r="L853" s="900"/>
    </row>
    <row r="854" spans="1:12" ht="15.75" customHeight="1">
      <c r="A854" s="908"/>
      <c r="B854" s="908"/>
      <c r="C854" s="908"/>
      <c r="D854" s="908"/>
      <c r="E854" s="908"/>
      <c r="F854" s="908"/>
      <c r="G854" s="908"/>
      <c r="H854" s="908"/>
      <c r="I854" s="908"/>
      <c r="J854" s="1016"/>
      <c r="K854" s="900"/>
      <c r="L854" s="900"/>
    </row>
    <row r="855" spans="1:12" ht="15.75" customHeight="1">
      <c r="A855" s="908"/>
      <c r="B855" s="908"/>
      <c r="C855" s="908"/>
      <c r="D855" s="908"/>
      <c r="E855" s="908"/>
      <c r="F855" s="908"/>
      <c r="G855" s="908"/>
      <c r="H855" s="908"/>
      <c r="I855" s="908"/>
      <c r="J855" s="1016"/>
      <c r="K855" s="900"/>
      <c r="L855" s="900"/>
    </row>
    <row r="856" spans="1:12" ht="15.75" customHeight="1">
      <c r="A856" s="908"/>
      <c r="B856" s="908"/>
      <c r="C856" s="908"/>
      <c r="D856" s="908"/>
      <c r="E856" s="908"/>
      <c r="F856" s="908"/>
      <c r="G856" s="908"/>
      <c r="H856" s="908"/>
      <c r="I856" s="908"/>
      <c r="J856" s="1016"/>
      <c r="K856" s="900"/>
      <c r="L856" s="900"/>
    </row>
    <row r="857" spans="1:12" ht="15.75" customHeight="1">
      <c r="A857" s="908"/>
      <c r="B857" s="908"/>
      <c r="C857" s="908"/>
      <c r="D857" s="908"/>
      <c r="E857" s="908"/>
      <c r="F857" s="908"/>
      <c r="G857" s="908"/>
      <c r="H857" s="908"/>
      <c r="I857" s="908"/>
      <c r="J857" s="1016"/>
      <c r="K857" s="900"/>
      <c r="L857" s="900"/>
    </row>
    <row r="858" spans="1:12" ht="15.75" customHeight="1">
      <c r="A858" s="908"/>
      <c r="B858" s="908"/>
      <c r="C858" s="908"/>
      <c r="D858" s="908"/>
      <c r="E858" s="908"/>
      <c r="F858" s="908"/>
      <c r="G858" s="908"/>
      <c r="H858" s="908"/>
      <c r="I858" s="908"/>
      <c r="J858" s="1016"/>
      <c r="K858" s="900"/>
      <c r="L858" s="900"/>
    </row>
    <row r="859" spans="1:12" ht="15.75" customHeight="1">
      <c r="A859" s="908"/>
      <c r="B859" s="908"/>
      <c r="C859" s="908"/>
      <c r="D859" s="908"/>
      <c r="E859" s="908"/>
      <c r="F859" s="908"/>
      <c r="G859" s="908"/>
      <c r="H859" s="908"/>
      <c r="I859" s="908"/>
      <c r="J859" s="1016"/>
      <c r="K859" s="900"/>
      <c r="L859" s="900"/>
    </row>
    <row r="860" spans="1:12" ht="15.75" customHeight="1">
      <c r="A860" s="908"/>
      <c r="B860" s="908"/>
      <c r="C860" s="908"/>
      <c r="D860" s="908"/>
      <c r="E860" s="908"/>
      <c r="F860" s="908"/>
      <c r="G860" s="908"/>
      <c r="H860" s="908"/>
      <c r="I860" s="908"/>
      <c r="J860" s="1016"/>
      <c r="K860" s="900"/>
      <c r="L860" s="900"/>
    </row>
    <row r="861" spans="1:12" ht="15.75" customHeight="1">
      <c r="A861" s="908"/>
      <c r="B861" s="908"/>
      <c r="C861" s="908"/>
      <c r="D861" s="908"/>
      <c r="E861" s="908"/>
      <c r="F861" s="908"/>
      <c r="G861" s="908"/>
      <c r="H861" s="908"/>
      <c r="I861" s="908"/>
      <c r="J861" s="1016"/>
      <c r="K861" s="900"/>
      <c r="L861" s="900"/>
    </row>
    <row r="862" spans="1:12" ht="15.75" customHeight="1">
      <c r="A862" s="908"/>
      <c r="B862" s="908"/>
      <c r="C862" s="908"/>
      <c r="D862" s="908"/>
      <c r="E862" s="908"/>
      <c r="F862" s="908"/>
      <c r="G862" s="908"/>
      <c r="H862" s="908"/>
      <c r="I862" s="908"/>
      <c r="J862" s="1016"/>
      <c r="K862" s="900"/>
      <c r="L862" s="900"/>
    </row>
    <row r="863" spans="1:12" ht="15.75" customHeight="1">
      <c r="A863" s="908"/>
      <c r="B863" s="908"/>
      <c r="C863" s="908"/>
      <c r="D863" s="908"/>
      <c r="E863" s="908"/>
      <c r="F863" s="908"/>
      <c r="G863" s="908"/>
      <c r="H863" s="908"/>
      <c r="I863" s="908"/>
      <c r="J863" s="1016"/>
      <c r="K863" s="900"/>
      <c r="L863" s="900"/>
    </row>
    <row r="864" spans="1:12" ht="15.75" customHeight="1">
      <c r="A864" s="908"/>
      <c r="B864" s="908"/>
      <c r="C864" s="908"/>
      <c r="D864" s="908"/>
      <c r="E864" s="908"/>
      <c r="F864" s="908"/>
      <c r="G864" s="908"/>
      <c r="H864" s="908"/>
      <c r="I864" s="908"/>
      <c r="J864" s="1016"/>
      <c r="K864" s="900"/>
      <c r="L864" s="900"/>
    </row>
    <row r="865" spans="1:12" ht="15.75" customHeight="1">
      <c r="A865" s="908"/>
      <c r="B865" s="908"/>
      <c r="C865" s="908"/>
      <c r="D865" s="908"/>
      <c r="E865" s="908"/>
      <c r="F865" s="908"/>
      <c r="G865" s="908"/>
      <c r="H865" s="908"/>
      <c r="I865" s="908"/>
      <c r="J865" s="1016"/>
      <c r="K865" s="900"/>
      <c r="L865" s="900"/>
    </row>
    <row r="866" spans="1:12" ht="15.75" customHeight="1">
      <c r="A866" s="908"/>
      <c r="B866" s="908"/>
      <c r="C866" s="908"/>
      <c r="D866" s="908"/>
      <c r="E866" s="908"/>
      <c r="F866" s="908"/>
      <c r="G866" s="908"/>
      <c r="H866" s="908"/>
      <c r="I866" s="908"/>
      <c r="J866" s="1016"/>
      <c r="K866" s="900"/>
      <c r="L866" s="900"/>
    </row>
    <row r="867" spans="1:12" ht="15.75" customHeight="1">
      <c r="A867" s="908"/>
      <c r="B867" s="908"/>
      <c r="C867" s="908"/>
      <c r="D867" s="908"/>
      <c r="E867" s="908"/>
      <c r="F867" s="908"/>
      <c r="G867" s="908"/>
      <c r="H867" s="908"/>
      <c r="I867" s="908"/>
      <c r="J867" s="1016"/>
      <c r="K867" s="900"/>
      <c r="L867" s="900"/>
    </row>
    <row r="868" spans="1:12" ht="15.75" customHeight="1">
      <c r="A868" s="908"/>
      <c r="B868" s="908"/>
      <c r="C868" s="908"/>
      <c r="D868" s="908"/>
      <c r="E868" s="908"/>
      <c r="F868" s="908"/>
      <c r="G868" s="908"/>
      <c r="H868" s="908"/>
      <c r="I868" s="908"/>
      <c r="J868" s="1016"/>
      <c r="K868" s="900"/>
      <c r="L868" s="900"/>
    </row>
    <row r="869" spans="1:12" ht="15.75" customHeight="1">
      <c r="A869" s="908"/>
      <c r="B869" s="908"/>
      <c r="C869" s="908"/>
      <c r="D869" s="908"/>
      <c r="E869" s="908"/>
      <c r="F869" s="908"/>
      <c r="G869" s="908"/>
      <c r="H869" s="908"/>
      <c r="I869" s="908"/>
      <c r="J869" s="1016"/>
      <c r="K869" s="900"/>
      <c r="L869" s="900"/>
    </row>
    <row r="870" spans="1:12" ht="15.75" customHeight="1">
      <c r="A870" s="908"/>
      <c r="B870" s="908"/>
      <c r="C870" s="908"/>
      <c r="D870" s="908"/>
      <c r="E870" s="908"/>
      <c r="F870" s="908"/>
      <c r="G870" s="908"/>
      <c r="H870" s="908"/>
      <c r="I870" s="908"/>
      <c r="J870" s="1016"/>
      <c r="K870" s="900"/>
      <c r="L870" s="900"/>
    </row>
    <row r="871" spans="1:12" ht="15.75" customHeight="1">
      <c r="A871" s="908"/>
      <c r="B871" s="908"/>
      <c r="C871" s="908"/>
      <c r="D871" s="908"/>
      <c r="E871" s="908"/>
      <c r="F871" s="908"/>
      <c r="G871" s="908"/>
      <c r="H871" s="908"/>
      <c r="I871" s="908"/>
      <c r="J871" s="1016"/>
      <c r="K871" s="900"/>
      <c r="L871" s="900"/>
    </row>
    <row r="872" spans="1:12" ht="15.75" customHeight="1">
      <c r="A872" s="908"/>
      <c r="B872" s="908"/>
      <c r="C872" s="908"/>
      <c r="D872" s="908"/>
      <c r="E872" s="908"/>
      <c r="F872" s="908"/>
      <c r="G872" s="908"/>
      <c r="H872" s="908"/>
      <c r="I872" s="908"/>
      <c r="J872" s="1016"/>
      <c r="K872" s="900"/>
      <c r="L872" s="900"/>
    </row>
    <row r="873" spans="1:12" ht="15.75" customHeight="1">
      <c r="A873" s="908"/>
      <c r="B873" s="908"/>
      <c r="C873" s="908"/>
      <c r="D873" s="908"/>
      <c r="E873" s="908"/>
      <c r="F873" s="908"/>
      <c r="G873" s="908"/>
      <c r="H873" s="908"/>
      <c r="I873" s="908"/>
      <c r="J873" s="1016"/>
      <c r="K873" s="900"/>
      <c r="L873" s="900"/>
    </row>
    <row r="874" spans="1:12" ht="15.75" customHeight="1">
      <c r="A874" s="908"/>
      <c r="B874" s="908"/>
      <c r="C874" s="908"/>
      <c r="D874" s="908"/>
      <c r="E874" s="908"/>
      <c r="F874" s="908"/>
      <c r="G874" s="908"/>
      <c r="H874" s="908"/>
      <c r="I874" s="908"/>
      <c r="J874" s="1016"/>
      <c r="K874" s="900"/>
      <c r="L874" s="900"/>
    </row>
    <row r="875" spans="1:12" ht="15.75" customHeight="1">
      <c r="A875" s="908"/>
      <c r="B875" s="908"/>
      <c r="C875" s="908"/>
      <c r="D875" s="908"/>
      <c r="E875" s="908"/>
      <c r="F875" s="908"/>
      <c r="G875" s="908"/>
      <c r="H875" s="908"/>
      <c r="I875" s="908"/>
      <c r="J875" s="1016"/>
      <c r="K875" s="900"/>
      <c r="L875" s="900"/>
    </row>
    <row r="876" spans="1:12" ht="15.75" customHeight="1">
      <c r="A876" s="908"/>
      <c r="B876" s="908"/>
      <c r="C876" s="908"/>
      <c r="D876" s="908"/>
      <c r="E876" s="908"/>
      <c r="F876" s="908"/>
      <c r="G876" s="908"/>
      <c r="H876" s="908"/>
      <c r="I876" s="908"/>
      <c r="J876" s="1016"/>
      <c r="K876" s="900"/>
      <c r="L876" s="900"/>
    </row>
    <row r="877" spans="1:12" ht="15.75" customHeight="1">
      <c r="A877" s="908"/>
      <c r="B877" s="908"/>
      <c r="C877" s="908"/>
      <c r="D877" s="908"/>
      <c r="E877" s="908"/>
      <c r="F877" s="908"/>
      <c r="G877" s="908"/>
      <c r="H877" s="908"/>
      <c r="I877" s="908"/>
      <c r="J877" s="1016"/>
      <c r="K877" s="900"/>
      <c r="L877" s="900"/>
    </row>
    <row r="878" spans="1:12" ht="15.75" customHeight="1">
      <c r="A878" s="908"/>
      <c r="B878" s="908"/>
      <c r="C878" s="908"/>
      <c r="D878" s="908"/>
      <c r="E878" s="908"/>
      <c r="F878" s="908"/>
      <c r="G878" s="908"/>
      <c r="H878" s="908"/>
      <c r="I878" s="908"/>
      <c r="J878" s="1016"/>
      <c r="K878" s="900"/>
      <c r="L878" s="900"/>
    </row>
    <row r="879" spans="1:12" ht="15.75" customHeight="1">
      <c r="A879" s="908"/>
      <c r="B879" s="908"/>
      <c r="C879" s="908"/>
      <c r="D879" s="908"/>
      <c r="E879" s="908"/>
      <c r="F879" s="908"/>
      <c r="G879" s="908"/>
      <c r="H879" s="908"/>
      <c r="I879" s="908"/>
      <c r="J879" s="1016"/>
      <c r="K879" s="900"/>
      <c r="L879" s="900"/>
    </row>
    <row r="880" spans="1:12" ht="15.75" customHeight="1">
      <c r="A880" s="908"/>
      <c r="B880" s="908"/>
      <c r="C880" s="908"/>
      <c r="D880" s="908"/>
      <c r="E880" s="908"/>
      <c r="F880" s="908"/>
      <c r="G880" s="908"/>
      <c r="H880" s="908"/>
      <c r="I880" s="908"/>
      <c r="J880" s="1016"/>
      <c r="K880" s="900"/>
      <c r="L880" s="900"/>
    </row>
    <row r="881" spans="1:12" ht="15.75" customHeight="1">
      <c r="A881" s="908"/>
      <c r="B881" s="908"/>
      <c r="C881" s="908"/>
      <c r="D881" s="908"/>
      <c r="E881" s="908"/>
      <c r="F881" s="908"/>
      <c r="G881" s="908"/>
      <c r="H881" s="908"/>
      <c r="I881" s="908"/>
      <c r="J881" s="1016"/>
      <c r="K881" s="900"/>
      <c r="L881" s="900"/>
    </row>
    <row r="882" spans="1:12" ht="15.75" customHeight="1">
      <c r="A882" s="908"/>
      <c r="B882" s="908"/>
      <c r="C882" s="908"/>
      <c r="D882" s="908"/>
      <c r="E882" s="908"/>
      <c r="F882" s="908"/>
      <c r="G882" s="908"/>
      <c r="H882" s="908"/>
      <c r="I882" s="908"/>
      <c r="J882" s="1016"/>
      <c r="K882" s="900"/>
      <c r="L882" s="900"/>
    </row>
    <row r="883" spans="1:12" ht="15.75" customHeight="1">
      <c r="A883" s="908"/>
      <c r="B883" s="908"/>
      <c r="C883" s="908"/>
      <c r="D883" s="908"/>
      <c r="E883" s="908"/>
      <c r="F883" s="908"/>
      <c r="G883" s="908"/>
      <c r="H883" s="908"/>
      <c r="I883" s="908"/>
      <c r="J883" s="1016"/>
      <c r="K883" s="900"/>
      <c r="L883" s="900"/>
    </row>
    <row r="884" spans="1:12" ht="15.75" customHeight="1">
      <c r="A884" s="908"/>
      <c r="B884" s="908"/>
      <c r="C884" s="908"/>
      <c r="D884" s="908"/>
      <c r="E884" s="908"/>
      <c r="F884" s="908"/>
      <c r="G884" s="908"/>
      <c r="H884" s="908"/>
      <c r="I884" s="908"/>
      <c r="J884" s="1016"/>
      <c r="K884" s="900"/>
      <c r="L884" s="900"/>
    </row>
    <row r="885" spans="1:12" ht="15.75" customHeight="1">
      <c r="A885" s="908"/>
      <c r="B885" s="908"/>
      <c r="C885" s="908"/>
      <c r="D885" s="908"/>
      <c r="E885" s="908"/>
      <c r="F885" s="908"/>
      <c r="G885" s="908"/>
      <c r="H885" s="908"/>
      <c r="I885" s="908"/>
      <c r="J885" s="1016"/>
      <c r="K885" s="900"/>
      <c r="L885" s="900"/>
    </row>
    <row r="886" spans="1:12" ht="15.75" customHeight="1">
      <c r="A886" s="908"/>
      <c r="B886" s="908"/>
      <c r="C886" s="908"/>
      <c r="D886" s="908"/>
      <c r="E886" s="908"/>
      <c r="F886" s="908"/>
      <c r="G886" s="908"/>
      <c r="H886" s="908"/>
      <c r="I886" s="908"/>
      <c r="J886" s="1016"/>
      <c r="K886" s="900"/>
      <c r="L886" s="900"/>
    </row>
    <row r="887" spans="1:12" ht="15.75" customHeight="1">
      <c r="A887" s="908"/>
      <c r="B887" s="908"/>
      <c r="C887" s="908"/>
      <c r="D887" s="908"/>
      <c r="E887" s="908"/>
      <c r="F887" s="908"/>
      <c r="G887" s="908"/>
      <c r="H887" s="908"/>
      <c r="I887" s="908"/>
      <c r="J887" s="1016"/>
      <c r="K887" s="900"/>
      <c r="L887" s="900"/>
    </row>
    <row r="888" spans="1:12" ht="15.75" customHeight="1">
      <c r="A888" s="908"/>
      <c r="B888" s="908"/>
      <c r="C888" s="908"/>
      <c r="D888" s="908"/>
      <c r="E888" s="908"/>
      <c r="F888" s="908"/>
      <c r="G888" s="908"/>
      <c r="H888" s="908"/>
      <c r="I888" s="908"/>
      <c r="J888" s="1016"/>
      <c r="K888" s="900"/>
      <c r="L888" s="900"/>
    </row>
    <row r="889" spans="1:12" ht="15.75" customHeight="1">
      <c r="A889" s="908"/>
      <c r="B889" s="908"/>
      <c r="C889" s="908"/>
      <c r="D889" s="908"/>
      <c r="E889" s="908"/>
      <c r="F889" s="908"/>
      <c r="G889" s="908"/>
      <c r="H889" s="908"/>
      <c r="I889" s="908"/>
      <c r="J889" s="1016"/>
      <c r="K889" s="900"/>
      <c r="L889" s="900"/>
    </row>
    <row r="890" spans="1:12" ht="15.75" customHeight="1">
      <c r="A890" s="908"/>
      <c r="B890" s="908"/>
      <c r="C890" s="908"/>
      <c r="D890" s="908"/>
      <c r="E890" s="908"/>
      <c r="F890" s="908"/>
      <c r="G890" s="908"/>
      <c r="H890" s="908"/>
      <c r="I890" s="908"/>
      <c r="J890" s="1016"/>
      <c r="K890" s="900"/>
      <c r="L890" s="900"/>
    </row>
    <row r="891" spans="1:12" ht="15.75" customHeight="1">
      <c r="A891" s="908"/>
      <c r="B891" s="908"/>
      <c r="C891" s="908"/>
      <c r="D891" s="908"/>
      <c r="E891" s="908"/>
      <c r="F891" s="908"/>
      <c r="G891" s="908"/>
      <c r="H891" s="908"/>
      <c r="I891" s="908"/>
      <c r="J891" s="1016"/>
      <c r="K891" s="900"/>
      <c r="L891" s="900"/>
    </row>
    <row r="892" spans="1:12" ht="15.75" customHeight="1">
      <c r="A892" s="908"/>
      <c r="B892" s="908"/>
      <c r="C892" s="908"/>
      <c r="D892" s="908"/>
      <c r="E892" s="908"/>
      <c r="F892" s="908"/>
      <c r="G892" s="908"/>
      <c r="H892" s="908"/>
      <c r="I892" s="908"/>
      <c r="J892" s="1016"/>
      <c r="K892" s="900"/>
      <c r="L892" s="900"/>
    </row>
    <row r="893" spans="1:12" ht="15.75" customHeight="1">
      <c r="A893" s="908"/>
      <c r="B893" s="908"/>
      <c r="C893" s="908"/>
      <c r="D893" s="908"/>
      <c r="E893" s="908"/>
      <c r="F893" s="908"/>
      <c r="G893" s="908"/>
      <c r="H893" s="908"/>
      <c r="I893" s="908"/>
      <c r="J893" s="1016"/>
      <c r="K893" s="900"/>
      <c r="L893" s="900"/>
    </row>
    <row r="894" spans="1:12" ht="15.75" customHeight="1">
      <c r="A894" s="908"/>
      <c r="B894" s="908"/>
      <c r="C894" s="908"/>
      <c r="D894" s="908"/>
      <c r="E894" s="908"/>
      <c r="F894" s="908"/>
      <c r="G894" s="908"/>
      <c r="H894" s="908"/>
      <c r="I894" s="908"/>
      <c r="J894" s="1016"/>
      <c r="K894" s="900"/>
      <c r="L894" s="900"/>
    </row>
    <row r="895" spans="1:12" ht="15.75" customHeight="1">
      <c r="A895" s="908"/>
      <c r="B895" s="908"/>
      <c r="C895" s="908"/>
      <c r="D895" s="908"/>
      <c r="E895" s="908"/>
      <c r="F895" s="908"/>
      <c r="G895" s="908"/>
      <c r="H895" s="908"/>
      <c r="I895" s="908"/>
      <c r="J895" s="1016"/>
      <c r="K895" s="900"/>
      <c r="L895" s="900"/>
    </row>
    <row r="896" spans="1:12" ht="15.75" customHeight="1">
      <c r="A896" s="908"/>
      <c r="B896" s="908"/>
      <c r="C896" s="908"/>
      <c r="D896" s="908"/>
      <c r="E896" s="908"/>
      <c r="F896" s="908"/>
      <c r="G896" s="908"/>
      <c r="H896" s="908"/>
      <c r="I896" s="908"/>
      <c r="J896" s="1016"/>
      <c r="K896" s="900"/>
      <c r="L896" s="900"/>
    </row>
    <row r="897" spans="1:12" ht="15.75" customHeight="1">
      <c r="A897" s="908"/>
      <c r="B897" s="908"/>
      <c r="C897" s="908"/>
      <c r="D897" s="908"/>
      <c r="E897" s="908"/>
      <c r="F897" s="908"/>
      <c r="G897" s="908"/>
      <c r="H897" s="908"/>
      <c r="I897" s="908"/>
      <c r="J897" s="1016"/>
      <c r="K897" s="900"/>
      <c r="L897" s="900"/>
    </row>
    <row r="898" spans="1:12" ht="15.75" customHeight="1">
      <c r="A898" s="908"/>
      <c r="B898" s="908"/>
      <c r="C898" s="908"/>
      <c r="D898" s="908"/>
      <c r="E898" s="908"/>
      <c r="F898" s="908"/>
      <c r="G898" s="908"/>
      <c r="H898" s="908"/>
      <c r="I898" s="908"/>
      <c r="J898" s="1016"/>
      <c r="K898" s="900"/>
      <c r="L898" s="900"/>
    </row>
    <row r="899" spans="1:12" ht="15.75" customHeight="1">
      <c r="A899" s="908"/>
      <c r="B899" s="908"/>
      <c r="C899" s="908"/>
      <c r="D899" s="908"/>
      <c r="E899" s="908"/>
      <c r="F899" s="908"/>
      <c r="G899" s="908"/>
      <c r="H899" s="908"/>
      <c r="I899" s="908"/>
      <c r="J899" s="1016"/>
      <c r="K899" s="900"/>
      <c r="L899" s="900"/>
    </row>
    <row r="900" spans="1:12" ht="15.75" customHeight="1">
      <c r="A900" s="908"/>
      <c r="B900" s="908"/>
      <c r="C900" s="908"/>
      <c r="D900" s="908"/>
      <c r="E900" s="908"/>
      <c r="F900" s="908"/>
      <c r="G900" s="908"/>
      <c r="H900" s="908"/>
      <c r="I900" s="908"/>
      <c r="J900" s="1016"/>
      <c r="K900" s="900"/>
      <c r="L900" s="900"/>
    </row>
    <row r="901" spans="1:12" ht="15.75" customHeight="1">
      <c r="A901" s="908"/>
      <c r="B901" s="908"/>
      <c r="C901" s="908"/>
      <c r="D901" s="908"/>
      <c r="E901" s="908"/>
      <c r="F901" s="908"/>
      <c r="G901" s="908"/>
      <c r="H901" s="908"/>
      <c r="I901" s="908"/>
      <c r="J901" s="1016"/>
      <c r="K901" s="900"/>
      <c r="L901" s="900"/>
    </row>
    <row r="902" spans="1:12" ht="15.75" customHeight="1">
      <c r="A902" s="908"/>
      <c r="B902" s="908"/>
      <c r="C902" s="908"/>
      <c r="D902" s="908"/>
      <c r="E902" s="908"/>
      <c r="F902" s="908"/>
      <c r="G902" s="908"/>
      <c r="H902" s="908"/>
      <c r="I902" s="908"/>
      <c r="J902" s="1016"/>
      <c r="K902" s="900"/>
      <c r="L902" s="900"/>
    </row>
    <row r="903" spans="1:12" ht="15.75" customHeight="1">
      <c r="A903" s="908"/>
      <c r="B903" s="908"/>
      <c r="C903" s="908"/>
      <c r="D903" s="908"/>
      <c r="E903" s="908"/>
      <c r="F903" s="908"/>
      <c r="G903" s="908"/>
      <c r="H903" s="908"/>
      <c r="I903" s="908"/>
      <c r="J903" s="1016"/>
      <c r="K903" s="900"/>
      <c r="L903" s="900"/>
    </row>
    <row r="904" spans="1:12" ht="15.75" customHeight="1">
      <c r="A904" s="908"/>
      <c r="B904" s="908"/>
      <c r="C904" s="908"/>
      <c r="D904" s="908"/>
      <c r="E904" s="908"/>
      <c r="F904" s="908"/>
      <c r="G904" s="908"/>
      <c r="H904" s="908"/>
      <c r="I904" s="908"/>
      <c r="J904" s="1016"/>
      <c r="K904" s="900"/>
      <c r="L904" s="900"/>
    </row>
    <row r="905" spans="1:12" ht="15.75" customHeight="1">
      <c r="A905" s="908"/>
      <c r="B905" s="908"/>
      <c r="C905" s="908"/>
      <c r="D905" s="908"/>
      <c r="E905" s="908"/>
      <c r="F905" s="908"/>
      <c r="G905" s="908"/>
      <c r="H905" s="908"/>
      <c r="I905" s="908"/>
      <c r="J905" s="1016"/>
      <c r="K905" s="900"/>
      <c r="L905" s="900"/>
    </row>
    <row r="906" spans="1:12" ht="15.75" customHeight="1">
      <c r="A906" s="908"/>
      <c r="B906" s="908"/>
      <c r="C906" s="908"/>
      <c r="D906" s="908"/>
      <c r="E906" s="908"/>
      <c r="F906" s="908"/>
      <c r="G906" s="908"/>
      <c r="H906" s="908"/>
      <c r="I906" s="908"/>
      <c r="J906" s="1016"/>
      <c r="K906" s="900"/>
      <c r="L906" s="900"/>
    </row>
    <row r="907" spans="1:12" ht="15.75" customHeight="1">
      <c r="A907" s="908"/>
      <c r="B907" s="908"/>
      <c r="C907" s="908"/>
      <c r="D907" s="908"/>
      <c r="E907" s="908"/>
      <c r="F907" s="908"/>
      <c r="G907" s="908"/>
      <c r="H907" s="908"/>
      <c r="I907" s="908"/>
      <c r="J907" s="1016"/>
      <c r="K907" s="900"/>
      <c r="L907" s="900"/>
    </row>
    <row r="908" spans="1:12" ht="15.75" customHeight="1">
      <c r="A908" s="908"/>
      <c r="B908" s="908"/>
      <c r="C908" s="908"/>
      <c r="D908" s="908"/>
      <c r="E908" s="908"/>
      <c r="F908" s="908"/>
      <c r="G908" s="908"/>
      <c r="H908" s="908"/>
      <c r="I908" s="908"/>
      <c r="J908" s="1016"/>
      <c r="K908" s="900"/>
      <c r="L908" s="900"/>
    </row>
    <row r="909" spans="1:12" ht="15.75" customHeight="1">
      <c r="A909" s="908"/>
      <c r="B909" s="908"/>
      <c r="C909" s="908"/>
      <c r="D909" s="908"/>
      <c r="E909" s="908"/>
      <c r="F909" s="908"/>
      <c r="G909" s="908"/>
      <c r="H909" s="908"/>
      <c r="I909" s="908"/>
      <c r="J909" s="1016"/>
      <c r="K909" s="900"/>
      <c r="L909" s="900"/>
    </row>
    <row r="910" spans="1:12" ht="15.75" customHeight="1">
      <c r="A910" s="908"/>
      <c r="B910" s="908"/>
      <c r="C910" s="908"/>
      <c r="D910" s="908"/>
      <c r="E910" s="908"/>
      <c r="F910" s="908"/>
      <c r="G910" s="908"/>
      <c r="H910" s="908"/>
      <c r="I910" s="908"/>
      <c r="J910" s="1016"/>
      <c r="K910" s="900"/>
      <c r="L910" s="900"/>
    </row>
    <row r="911" spans="1:12" ht="15.75" customHeight="1">
      <c r="A911" s="908"/>
      <c r="B911" s="908"/>
      <c r="C911" s="908"/>
      <c r="D911" s="908"/>
      <c r="E911" s="908"/>
      <c r="F911" s="908"/>
      <c r="G911" s="908"/>
      <c r="H911" s="908"/>
      <c r="I911" s="908"/>
      <c r="J911" s="1016"/>
      <c r="K911" s="900"/>
      <c r="L911" s="900"/>
    </row>
    <row r="912" spans="1:12" ht="15.75" customHeight="1">
      <c r="A912" s="908"/>
      <c r="B912" s="908"/>
      <c r="C912" s="908"/>
      <c r="D912" s="908"/>
      <c r="E912" s="908"/>
      <c r="F912" s="908"/>
      <c r="G912" s="908"/>
      <c r="H912" s="908"/>
      <c r="I912" s="908"/>
      <c r="J912" s="1016"/>
      <c r="K912" s="900"/>
      <c r="L912" s="900"/>
    </row>
    <row r="913" spans="1:12" ht="15.75" customHeight="1">
      <c r="A913" s="908"/>
      <c r="B913" s="908"/>
      <c r="C913" s="908"/>
      <c r="D913" s="908"/>
      <c r="E913" s="908"/>
      <c r="F913" s="908"/>
      <c r="G913" s="908"/>
      <c r="H913" s="908"/>
      <c r="I913" s="908"/>
      <c r="J913" s="1016"/>
      <c r="K913" s="900"/>
      <c r="L913" s="900"/>
    </row>
    <row r="914" spans="1:12" ht="15.75" customHeight="1">
      <c r="A914" s="908"/>
      <c r="B914" s="908"/>
      <c r="C914" s="908"/>
      <c r="D914" s="908"/>
      <c r="E914" s="908"/>
      <c r="F914" s="908"/>
      <c r="G914" s="908"/>
      <c r="H914" s="908"/>
      <c r="I914" s="908"/>
      <c r="J914" s="1016"/>
      <c r="K914" s="900"/>
      <c r="L914" s="900"/>
    </row>
    <row r="915" spans="1:12" ht="15.75" customHeight="1">
      <c r="A915" s="908"/>
      <c r="B915" s="908"/>
      <c r="C915" s="908"/>
      <c r="D915" s="908"/>
      <c r="E915" s="908"/>
      <c r="F915" s="908"/>
      <c r="G915" s="908"/>
      <c r="H915" s="908"/>
      <c r="I915" s="908"/>
      <c r="J915" s="1016"/>
      <c r="K915" s="900"/>
      <c r="L915" s="900"/>
    </row>
    <row r="916" spans="1:12" ht="15.75" customHeight="1">
      <c r="A916" s="908"/>
      <c r="B916" s="908"/>
      <c r="C916" s="908"/>
      <c r="D916" s="908"/>
      <c r="E916" s="908"/>
      <c r="F916" s="908"/>
      <c r="G916" s="908"/>
      <c r="H916" s="908"/>
      <c r="I916" s="908"/>
      <c r="J916" s="1016"/>
      <c r="K916" s="900"/>
      <c r="L916" s="900"/>
    </row>
    <row r="917" spans="1:12" ht="15.75" customHeight="1">
      <c r="A917" s="908"/>
      <c r="B917" s="908"/>
      <c r="C917" s="908"/>
      <c r="D917" s="908"/>
      <c r="E917" s="908"/>
      <c r="F917" s="908"/>
      <c r="G917" s="908"/>
      <c r="H917" s="908"/>
      <c r="I917" s="908"/>
      <c r="J917" s="1016"/>
      <c r="K917" s="900"/>
      <c r="L917" s="900"/>
    </row>
    <row r="918" spans="1:12" ht="15.75" customHeight="1">
      <c r="A918" s="908"/>
      <c r="B918" s="908"/>
      <c r="C918" s="908"/>
      <c r="D918" s="908"/>
      <c r="E918" s="908"/>
      <c r="F918" s="908"/>
      <c r="G918" s="908"/>
      <c r="H918" s="908"/>
      <c r="I918" s="908"/>
      <c r="J918" s="1016"/>
      <c r="K918" s="900"/>
      <c r="L918" s="900"/>
    </row>
    <row r="919" spans="1:12" ht="15.75" customHeight="1">
      <c r="A919" s="908"/>
      <c r="B919" s="908"/>
      <c r="C919" s="908"/>
      <c r="D919" s="908"/>
      <c r="E919" s="908"/>
      <c r="F919" s="908"/>
      <c r="G919" s="908"/>
      <c r="H919" s="908"/>
      <c r="I919" s="908"/>
      <c r="J919" s="1016"/>
      <c r="K919" s="900"/>
      <c r="L919" s="900"/>
    </row>
    <row r="920" spans="1:12" ht="15.75" customHeight="1">
      <c r="A920" s="908"/>
      <c r="B920" s="908"/>
      <c r="C920" s="908"/>
      <c r="D920" s="908"/>
      <c r="E920" s="908"/>
      <c r="F920" s="908"/>
      <c r="G920" s="908"/>
      <c r="H920" s="908"/>
      <c r="I920" s="908"/>
      <c r="J920" s="1016"/>
      <c r="K920" s="900"/>
      <c r="L920" s="900"/>
    </row>
    <row r="921" spans="1:12" ht="15.75" customHeight="1">
      <c r="A921" s="908"/>
      <c r="B921" s="908"/>
      <c r="C921" s="908"/>
      <c r="D921" s="908"/>
      <c r="E921" s="908"/>
      <c r="F921" s="908"/>
      <c r="G921" s="908"/>
      <c r="H921" s="908"/>
      <c r="I921" s="908"/>
      <c r="J921" s="1016"/>
      <c r="K921" s="900"/>
      <c r="L921" s="900"/>
    </row>
    <row r="922" spans="1:12" ht="15.75" customHeight="1">
      <c r="A922" s="908"/>
      <c r="B922" s="908"/>
      <c r="C922" s="908"/>
      <c r="D922" s="908"/>
      <c r="E922" s="908"/>
      <c r="F922" s="908"/>
      <c r="G922" s="908"/>
      <c r="H922" s="908"/>
      <c r="I922" s="908"/>
      <c r="J922" s="1016"/>
      <c r="K922" s="900"/>
      <c r="L922" s="900"/>
    </row>
    <row r="923" spans="1:12" ht="15.75" customHeight="1">
      <c r="A923" s="908"/>
      <c r="B923" s="908"/>
      <c r="C923" s="908"/>
      <c r="D923" s="908"/>
      <c r="E923" s="908"/>
      <c r="F923" s="908"/>
      <c r="G923" s="908"/>
      <c r="H923" s="908"/>
      <c r="I923" s="908"/>
      <c r="J923" s="1016"/>
      <c r="K923" s="900"/>
      <c r="L923" s="900"/>
    </row>
    <row r="924" spans="1:12" ht="15.75" customHeight="1">
      <c r="A924" s="908"/>
      <c r="B924" s="908"/>
      <c r="C924" s="908"/>
      <c r="D924" s="908"/>
      <c r="E924" s="908"/>
      <c r="F924" s="908"/>
      <c r="G924" s="908"/>
      <c r="H924" s="908"/>
      <c r="I924" s="908"/>
      <c r="J924" s="1016"/>
      <c r="K924" s="900"/>
      <c r="L924" s="900"/>
    </row>
    <row r="925" spans="1:12" ht="15.75" customHeight="1">
      <c r="A925" s="908"/>
      <c r="B925" s="908"/>
      <c r="C925" s="908"/>
      <c r="D925" s="908"/>
      <c r="E925" s="908"/>
      <c r="F925" s="908"/>
      <c r="G925" s="908"/>
      <c r="H925" s="908"/>
      <c r="I925" s="908"/>
      <c r="J925" s="1016"/>
      <c r="K925" s="900"/>
      <c r="L925" s="900"/>
    </row>
    <row r="926" spans="1:12" ht="15.75" customHeight="1">
      <c r="A926" s="908"/>
      <c r="B926" s="908"/>
      <c r="C926" s="908"/>
      <c r="D926" s="908"/>
      <c r="E926" s="908"/>
      <c r="F926" s="908"/>
      <c r="G926" s="908"/>
      <c r="H926" s="908"/>
      <c r="I926" s="908"/>
      <c r="J926" s="1016"/>
      <c r="K926" s="900"/>
      <c r="L926" s="900"/>
    </row>
    <row r="927" spans="1:12" ht="15.75" customHeight="1">
      <c r="A927" s="908"/>
      <c r="B927" s="908"/>
      <c r="C927" s="908"/>
      <c r="D927" s="908"/>
      <c r="E927" s="908"/>
      <c r="F927" s="908"/>
      <c r="G927" s="908"/>
      <c r="H927" s="908"/>
      <c r="I927" s="908"/>
      <c r="J927" s="1016"/>
      <c r="K927" s="900"/>
      <c r="L927" s="900"/>
    </row>
    <row r="928" spans="1:12" ht="15.75" customHeight="1">
      <c r="A928" s="908"/>
      <c r="B928" s="908"/>
      <c r="C928" s="908"/>
      <c r="D928" s="908"/>
      <c r="E928" s="908"/>
      <c r="F928" s="908"/>
      <c r="G928" s="908"/>
      <c r="H928" s="908"/>
      <c r="I928" s="908"/>
      <c r="J928" s="1016"/>
      <c r="K928" s="900"/>
      <c r="L928" s="900"/>
    </row>
    <row r="929" spans="1:12" ht="15.75" customHeight="1">
      <c r="A929" s="908"/>
      <c r="B929" s="908"/>
      <c r="C929" s="908"/>
      <c r="D929" s="908"/>
      <c r="E929" s="908"/>
      <c r="F929" s="908"/>
      <c r="G929" s="908"/>
      <c r="H929" s="908"/>
      <c r="I929" s="908"/>
      <c r="J929" s="1016"/>
      <c r="K929" s="900"/>
      <c r="L929" s="900"/>
    </row>
    <row r="930" spans="1:12" ht="15.75" customHeight="1">
      <c r="A930" s="908"/>
      <c r="B930" s="908"/>
      <c r="C930" s="908"/>
      <c r="D930" s="908"/>
      <c r="E930" s="908"/>
      <c r="F930" s="908"/>
      <c r="G930" s="908"/>
      <c r="H930" s="908"/>
      <c r="I930" s="908"/>
      <c r="J930" s="1016"/>
      <c r="K930" s="900"/>
      <c r="L930" s="900"/>
    </row>
    <row r="931" spans="1:12" ht="15.75" customHeight="1">
      <c r="A931" s="908"/>
      <c r="B931" s="908"/>
      <c r="C931" s="908"/>
      <c r="D931" s="908"/>
      <c r="E931" s="908"/>
      <c r="F931" s="908"/>
      <c r="G931" s="908"/>
      <c r="H931" s="908"/>
      <c r="I931" s="908"/>
      <c r="J931" s="1016"/>
      <c r="K931" s="900"/>
      <c r="L931" s="900"/>
    </row>
    <row r="932" spans="1:12" ht="15.75" customHeight="1">
      <c r="A932" s="908"/>
      <c r="B932" s="908"/>
      <c r="C932" s="908"/>
      <c r="D932" s="908"/>
      <c r="E932" s="908"/>
      <c r="F932" s="908"/>
      <c r="G932" s="908"/>
      <c r="H932" s="908"/>
      <c r="I932" s="908"/>
      <c r="J932" s="1016"/>
      <c r="K932" s="900"/>
      <c r="L932" s="900"/>
    </row>
    <row r="933" spans="1:12" ht="15.75" customHeight="1">
      <c r="A933" s="908"/>
      <c r="B933" s="908"/>
      <c r="C933" s="908"/>
      <c r="D933" s="908"/>
      <c r="E933" s="908"/>
      <c r="F933" s="908"/>
      <c r="G933" s="908"/>
      <c r="H933" s="908"/>
      <c r="I933" s="908"/>
      <c r="J933" s="1016"/>
      <c r="K933" s="900"/>
      <c r="L933" s="900"/>
    </row>
    <row r="934" spans="1:12" ht="15.75" customHeight="1">
      <c r="A934" s="908"/>
      <c r="B934" s="908"/>
      <c r="C934" s="908"/>
      <c r="D934" s="908"/>
      <c r="E934" s="908"/>
      <c r="F934" s="908"/>
      <c r="G934" s="908"/>
      <c r="H934" s="908"/>
      <c r="I934" s="908"/>
      <c r="J934" s="1016"/>
      <c r="K934" s="900"/>
      <c r="L934" s="900"/>
    </row>
    <row r="935" spans="1:12" ht="15.75" customHeight="1">
      <c r="A935" s="908"/>
      <c r="B935" s="908"/>
      <c r="C935" s="908"/>
      <c r="D935" s="908"/>
      <c r="E935" s="908"/>
      <c r="F935" s="908"/>
      <c r="G935" s="908"/>
      <c r="H935" s="908"/>
      <c r="I935" s="908"/>
      <c r="J935" s="1016"/>
      <c r="K935" s="900"/>
      <c r="L935" s="900"/>
    </row>
    <row r="936" spans="1:12" ht="15.75" customHeight="1">
      <c r="A936" s="908"/>
      <c r="B936" s="908"/>
      <c r="C936" s="908"/>
      <c r="D936" s="908"/>
      <c r="E936" s="908"/>
      <c r="F936" s="908"/>
      <c r="G936" s="908"/>
      <c r="H936" s="908"/>
      <c r="I936" s="908"/>
      <c r="J936" s="1016"/>
      <c r="K936" s="900"/>
      <c r="L936" s="900"/>
    </row>
    <row r="937" spans="1:12" ht="15.75" customHeight="1">
      <c r="A937" s="908"/>
      <c r="B937" s="908"/>
      <c r="C937" s="908"/>
      <c r="D937" s="908"/>
      <c r="E937" s="908"/>
      <c r="F937" s="908"/>
      <c r="G937" s="908"/>
      <c r="H937" s="908"/>
      <c r="I937" s="908"/>
      <c r="J937" s="1016"/>
      <c r="K937" s="900"/>
      <c r="L937" s="900"/>
    </row>
    <row r="938" spans="1:12" ht="15.75" customHeight="1">
      <c r="A938" s="908"/>
      <c r="B938" s="908"/>
      <c r="C938" s="908"/>
      <c r="D938" s="908"/>
      <c r="E938" s="908"/>
      <c r="F938" s="908"/>
      <c r="G938" s="908"/>
      <c r="H938" s="908"/>
      <c r="I938" s="908"/>
      <c r="J938" s="1016"/>
      <c r="K938" s="900"/>
      <c r="L938" s="900"/>
    </row>
    <row r="939" spans="1:12" ht="15.75" customHeight="1">
      <c r="A939" s="908"/>
      <c r="B939" s="908"/>
      <c r="C939" s="908"/>
      <c r="D939" s="908"/>
      <c r="E939" s="908"/>
      <c r="F939" s="908"/>
      <c r="G939" s="908"/>
      <c r="H939" s="908"/>
      <c r="I939" s="908"/>
      <c r="J939" s="1016"/>
      <c r="K939" s="900"/>
      <c r="L939" s="900"/>
    </row>
    <row r="940" spans="1:12" ht="15.75" customHeight="1">
      <c r="A940" s="908"/>
      <c r="B940" s="908"/>
      <c r="C940" s="908"/>
      <c r="D940" s="908"/>
      <c r="E940" s="908"/>
      <c r="F940" s="908"/>
      <c r="G940" s="908"/>
      <c r="H940" s="908"/>
      <c r="I940" s="908"/>
      <c r="J940" s="1016"/>
      <c r="K940" s="900"/>
      <c r="L940" s="900"/>
    </row>
    <row r="941" spans="1:12" ht="15.75" customHeight="1">
      <c r="A941" s="908"/>
      <c r="B941" s="908"/>
      <c r="C941" s="908"/>
      <c r="D941" s="908"/>
      <c r="E941" s="908"/>
      <c r="F941" s="908"/>
      <c r="G941" s="908"/>
      <c r="H941" s="908"/>
      <c r="I941" s="908"/>
      <c r="J941" s="1016"/>
      <c r="K941" s="900"/>
      <c r="L941" s="900"/>
    </row>
    <row r="942" spans="1:12" ht="15.75" customHeight="1">
      <c r="A942" s="908"/>
      <c r="B942" s="908"/>
      <c r="C942" s="908"/>
      <c r="D942" s="908"/>
      <c r="E942" s="908"/>
      <c r="F942" s="908"/>
      <c r="G942" s="908"/>
      <c r="H942" s="908"/>
      <c r="I942" s="908"/>
      <c r="J942" s="1016"/>
      <c r="K942" s="900"/>
      <c r="L942" s="900"/>
    </row>
    <row r="943" spans="1:12" ht="15.75" customHeight="1">
      <c r="A943" s="908"/>
      <c r="B943" s="908"/>
      <c r="C943" s="908"/>
      <c r="D943" s="908"/>
      <c r="E943" s="908"/>
      <c r="F943" s="908"/>
      <c r="G943" s="908"/>
      <c r="H943" s="908"/>
      <c r="I943" s="908"/>
      <c r="J943" s="1016"/>
      <c r="K943" s="900"/>
      <c r="L943" s="900"/>
    </row>
    <row r="944" spans="1:12" ht="15.75" customHeight="1">
      <c r="A944" s="908"/>
      <c r="B944" s="908"/>
      <c r="C944" s="908"/>
      <c r="D944" s="908"/>
      <c r="E944" s="908"/>
      <c r="F944" s="908"/>
      <c r="G944" s="908"/>
      <c r="H944" s="908"/>
      <c r="I944" s="908"/>
      <c r="J944" s="1016"/>
      <c r="K944" s="900"/>
      <c r="L944" s="900"/>
    </row>
    <row r="945" spans="1:12" ht="15.75" customHeight="1">
      <c r="A945" s="908"/>
      <c r="B945" s="908"/>
      <c r="C945" s="908"/>
      <c r="D945" s="908"/>
      <c r="E945" s="908"/>
      <c r="F945" s="908"/>
      <c r="G945" s="908"/>
      <c r="H945" s="908"/>
      <c r="I945" s="908"/>
      <c r="J945" s="1016"/>
      <c r="K945" s="900"/>
      <c r="L945" s="900"/>
    </row>
    <row r="946" spans="1:12" ht="15.75" customHeight="1">
      <c r="A946" s="908"/>
      <c r="B946" s="908"/>
      <c r="C946" s="908"/>
      <c r="D946" s="908"/>
      <c r="E946" s="908"/>
      <c r="F946" s="908"/>
      <c r="G946" s="908"/>
      <c r="H946" s="908"/>
      <c r="I946" s="908"/>
      <c r="J946" s="1016"/>
      <c r="K946" s="900"/>
      <c r="L946" s="900"/>
    </row>
    <row r="947" spans="1:12" ht="15.75" customHeight="1">
      <c r="A947" s="908"/>
      <c r="B947" s="908"/>
      <c r="C947" s="908"/>
      <c r="D947" s="908"/>
      <c r="E947" s="908"/>
      <c r="F947" s="908"/>
      <c r="G947" s="908"/>
      <c r="H947" s="908"/>
      <c r="I947" s="908"/>
      <c r="J947" s="1016"/>
      <c r="K947" s="900"/>
      <c r="L947" s="900"/>
    </row>
    <row r="948" spans="1:12" ht="15.75" customHeight="1">
      <c r="A948" s="908"/>
      <c r="B948" s="908"/>
      <c r="C948" s="908"/>
      <c r="D948" s="908"/>
      <c r="E948" s="908"/>
      <c r="F948" s="908"/>
      <c r="G948" s="908"/>
      <c r="H948" s="908"/>
      <c r="I948" s="908"/>
      <c r="J948" s="1016"/>
      <c r="K948" s="900"/>
      <c r="L948" s="900"/>
    </row>
    <row r="949" spans="1:12" ht="15.75" customHeight="1">
      <c r="A949" s="908"/>
      <c r="B949" s="908"/>
      <c r="C949" s="908"/>
      <c r="D949" s="908"/>
      <c r="E949" s="908"/>
      <c r="F949" s="908"/>
      <c r="G949" s="908"/>
      <c r="H949" s="908"/>
      <c r="I949" s="908"/>
      <c r="J949" s="1016"/>
      <c r="K949" s="900"/>
      <c r="L949" s="900"/>
    </row>
    <row r="950" spans="1:12" ht="15.75" customHeight="1">
      <c r="A950" s="908"/>
      <c r="B950" s="908"/>
      <c r="C950" s="908"/>
      <c r="D950" s="908"/>
      <c r="E950" s="908"/>
      <c r="F950" s="908"/>
      <c r="G950" s="908"/>
      <c r="H950" s="908"/>
      <c r="I950" s="908"/>
      <c r="J950" s="1016"/>
      <c r="K950" s="900"/>
      <c r="L950" s="900"/>
    </row>
    <row r="951" spans="1:12" ht="15.75" customHeight="1">
      <c r="A951" s="908"/>
      <c r="B951" s="908"/>
      <c r="C951" s="908"/>
      <c r="D951" s="908"/>
      <c r="E951" s="908"/>
      <c r="F951" s="908"/>
      <c r="G951" s="908"/>
      <c r="H951" s="908"/>
      <c r="I951" s="908"/>
      <c r="J951" s="1016"/>
      <c r="K951" s="900"/>
      <c r="L951" s="900"/>
    </row>
    <row r="952" spans="1:12" ht="15.75" customHeight="1">
      <c r="A952" s="908"/>
      <c r="B952" s="908"/>
      <c r="C952" s="908"/>
      <c r="D952" s="908"/>
      <c r="E952" s="908"/>
      <c r="F952" s="908"/>
      <c r="G952" s="908"/>
      <c r="H952" s="908"/>
      <c r="I952" s="908"/>
      <c r="J952" s="1016"/>
      <c r="K952" s="900"/>
      <c r="L952" s="900"/>
    </row>
    <row r="953" spans="1:12" ht="15.75" customHeight="1">
      <c r="A953" s="908"/>
      <c r="B953" s="908"/>
      <c r="C953" s="908"/>
      <c r="D953" s="908"/>
      <c r="E953" s="908"/>
      <c r="F953" s="908"/>
      <c r="G953" s="908"/>
      <c r="H953" s="908"/>
      <c r="I953" s="908"/>
      <c r="J953" s="1016"/>
      <c r="K953" s="900"/>
      <c r="L953" s="900"/>
    </row>
    <row r="954" spans="1:12" ht="15.75" customHeight="1">
      <c r="A954" s="908"/>
      <c r="B954" s="908"/>
      <c r="C954" s="908"/>
      <c r="D954" s="908"/>
      <c r="E954" s="908"/>
      <c r="F954" s="908"/>
      <c r="G954" s="908"/>
      <c r="H954" s="908"/>
      <c r="I954" s="908"/>
      <c r="J954" s="1016"/>
      <c r="K954" s="900"/>
      <c r="L954" s="900"/>
    </row>
    <row r="955" spans="1:12" ht="15.75" customHeight="1">
      <c r="A955" s="908"/>
      <c r="B955" s="908"/>
      <c r="C955" s="908"/>
      <c r="D955" s="908"/>
      <c r="E955" s="908"/>
      <c r="F955" s="908"/>
      <c r="G955" s="908"/>
      <c r="H955" s="908"/>
      <c r="I955" s="908"/>
      <c r="J955" s="1016"/>
      <c r="K955" s="900"/>
      <c r="L955" s="900"/>
    </row>
    <row r="956" spans="1:12" ht="15.75" customHeight="1">
      <c r="A956" s="908"/>
      <c r="B956" s="908"/>
      <c r="C956" s="908"/>
      <c r="D956" s="908"/>
      <c r="E956" s="908"/>
      <c r="F956" s="908"/>
      <c r="G956" s="908"/>
      <c r="H956" s="908"/>
      <c r="I956" s="908"/>
      <c r="J956" s="1016"/>
      <c r="K956" s="900"/>
      <c r="L956" s="900"/>
    </row>
    <row r="957" spans="1:12" ht="15.75" customHeight="1">
      <c r="A957" s="908"/>
      <c r="B957" s="908"/>
      <c r="C957" s="908"/>
      <c r="D957" s="908"/>
      <c r="E957" s="908"/>
      <c r="F957" s="908"/>
      <c r="G957" s="908"/>
      <c r="H957" s="908"/>
      <c r="I957" s="908"/>
      <c r="J957" s="1016"/>
      <c r="K957" s="900"/>
      <c r="L957" s="900"/>
    </row>
    <row r="958" spans="1:12" ht="15.75" customHeight="1">
      <c r="A958" s="908"/>
      <c r="B958" s="908"/>
      <c r="C958" s="908"/>
      <c r="D958" s="908"/>
      <c r="E958" s="908"/>
      <c r="F958" s="908"/>
      <c r="G958" s="908"/>
      <c r="H958" s="908"/>
      <c r="I958" s="908"/>
      <c r="J958" s="1016"/>
      <c r="K958" s="900"/>
      <c r="L958" s="900"/>
    </row>
    <row r="959" spans="1:12" ht="15.75" customHeight="1">
      <c r="A959" s="908"/>
      <c r="B959" s="908"/>
      <c r="C959" s="908"/>
      <c r="D959" s="908"/>
      <c r="E959" s="908"/>
      <c r="F959" s="908"/>
      <c r="G959" s="908"/>
      <c r="H959" s="908"/>
      <c r="I959" s="908"/>
      <c r="J959" s="1016"/>
      <c r="K959" s="900"/>
      <c r="L959" s="900"/>
    </row>
    <row r="960" spans="1:12" ht="15.75" customHeight="1">
      <c r="A960" s="908"/>
      <c r="B960" s="908"/>
      <c r="C960" s="908"/>
      <c r="D960" s="908"/>
      <c r="E960" s="908"/>
      <c r="F960" s="908"/>
      <c r="G960" s="908"/>
      <c r="H960" s="908"/>
      <c r="I960" s="908"/>
      <c r="J960" s="1016"/>
      <c r="K960" s="900"/>
      <c r="L960" s="900"/>
    </row>
    <row r="961" spans="1:12" ht="15.75" customHeight="1">
      <c r="A961" s="908"/>
      <c r="B961" s="908"/>
      <c r="C961" s="908"/>
      <c r="D961" s="908"/>
      <c r="E961" s="908"/>
      <c r="F961" s="908"/>
      <c r="G961" s="908"/>
      <c r="H961" s="908"/>
      <c r="I961" s="908"/>
      <c r="J961" s="1016"/>
      <c r="K961" s="900"/>
      <c r="L961" s="900"/>
    </row>
    <row r="962" spans="1:12" ht="15.75" customHeight="1">
      <c r="A962" s="908"/>
      <c r="B962" s="908"/>
      <c r="C962" s="908"/>
      <c r="D962" s="908"/>
      <c r="E962" s="908"/>
      <c r="F962" s="908"/>
      <c r="G962" s="908"/>
      <c r="H962" s="908"/>
      <c r="I962" s="908"/>
      <c r="J962" s="1016"/>
      <c r="K962" s="900"/>
      <c r="L962" s="900"/>
    </row>
    <row r="963" spans="1:12" ht="15.75" customHeight="1">
      <c r="A963" s="908"/>
      <c r="B963" s="908"/>
      <c r="C963" s="908"/>
      <c r="D963" s="908"/>
      <c r="E963" s="908"/>
      <c r="F963" s="908"/>
      <c r="G963" s="908"/>
      <c r="H963" s="908"/>
      <c r="I963" s="908"/>
      <c r="J963" s="1016"/>
      <c r="K963" s="900"/>
      <c r="L963" s="900"/>
    </row>
    <row r="964" spans="1:12" ht="15.75" customHeight="1">
      <c r="A964" s="908"/>
      <c r="B964" s="908"/>
      <c r="C964" s="908"/>
      <c r="D964" s="908"/>
      <c r="E964" s="908"/>
      <c r="F964" s="908"/>
      <c r="G964" s="908"/>
      <c r="H964" s="908"/>
      <c r="I964" s="908"/>
      <c r="J964" s="1016"/>
      <c r="K964" s="900"/>
      <c r="L964" s="900"/>
    </row>
    <row r="965" spans="1:12" ht="15.75" customHeight="1">
      <c r="A965" s="908"/>
      <c r="B965" s="908"/>
      <c r="C965" s="908"/>
      <c r="D965" s="908"/>
      <c r="E965" s="908"/>
      <c r="F965" s="908"/>
      <c r="G965" s="908"/>
      <c r="H965" s="908"/>
      <c r="I965" s="908"/>
      <c r="J965" s="1016"/>
      <c r="K965" s="900"/>
      <c r="L965" s="900"/>
    </row>
    <row r="966" spans="1:12" ht="15.75" customHeight="1">
      <c r="A966" s="908"/>
      <c r="B966" s="908"/>
      <c r="C966" s="908"/>
      <c r="D966" s="908"/>
      <c r="E966" s="908"/>
      <c r="F966" s="908"/>
      <c r="G966" s="908"/>
      <c r="H966" s="908"/>
      <c r="I966" s="908"/>
      <c r="J966" s="1016"/>
      <c r="K966" s="900"/>
      <c r="L966" s="900"/>
    </row>
    <row r="967" spans="1:12" ht="15.75" customHeight="1">
      <c r="A967" s="908"/>
      <c r="B967" s="908"/>
      <c r="C967" s="908"/>
      <c r="D967" s="908"/>
      <c r="E967" s="908"/>
      <c r="F967" s="908"/>
      <c r="G967" s="908"/>
      <c r="H967" s="908"/>
      <c r="I967" s="908"/>
      <c r="J967" s="1016"/>
      <c r="K967" s="900"/>
      <c r="L967" s="900"/>
    </row>
    <row r="968" spans="1:12" ht="15.75" customHeight="1">
      <c r="A968" s="908"/>
      <c r="B968" s="908"/>
      <c r="C968" s="908"/>
      <c r="D968" s="908"/>
      <c r="E968" s="908"/>
      <c r="F968" s="908"/>
      <c r="G968" s="908"/>
      <c r="H968" s="908"/>
      <c r="I968" s="908"/>
      <c r="J968" s="1016"/>
      <c r="K968" s="900"/>
      <c r="L968" s="900"/>
    </row>
    <row r="969" spans="1:12" ht="15.75" customHeight="1">
      <c r="A969" s="908"/>
      <c r="B969" s="908"/>
      <c r="C969" s="908"/>
      <c r="D969" s="908"/>
      <c r="E969" s="908"/>
      <c r="F969" s="908"/>
      <c r="G969" s="908"/>
      <c r="H969" s="908"/>
      <c r="I969" s="908"/>
      <c r="J969" s="1016"/>
      <c r="K969" s="900"/>
      <c r="L969" s="900"/>
    </row>
    <row r="970" spans="1:12" ht="15.75" customHeight="1">
      <c r="A970" s="908"/>
      <c r="B970" s="908"/>
      <c r="C970" s="908"/>
      <c r="D970" s="908"/>
      <c r="E970" s="908"/>
      <c r="F970" s="908"/>
      <c r="G970" s="908"/>
      <c r="H970" s="908"/>
      <c r="I970" s="908"/>
      <c r="J970" s="1016"/>
      <c r="K970" s="900"/>
      <c r="L970" s="900"/>
    </row>
    <row r="971" spans="1:12" ht="15.75" customHeight="1">
      <c r="A971" s="908"/>
      <c r="B971" s="908"/>
      <c r="C971" s="908"/>
      <c r="D971" s="908"/>
      <c r="E971" s="908"/>
      <c r="F971" s="908"/>
      <c r="G971" s="908"/>
      <c r="H971" s="908"/>
      <c r="I971" s="908"/>
      <c r="J971" s="1016"/>
      <c r="K971" s="900"/>
      <c r="L971" s="900"/>
    </row>
    <row r="972" spans="1:12" ht="15.75" customHeight="1">
      <c r="A972" s="908"/>
      <c r="B972" s="908"/>
      <c r="C972" s="908"/>
      <c r="D972" s="908"/>
      <c r="E972" s="908"/>
      <c r="F972" s="908"/>
      <c r="G972" s="908"/>
      <c r="H972" s="908"/>
      <c r="I972" s="908"/>
      <c r="J972" s="1016"/>
      <c r="K972" s="900"/>
      <c r="L972" s="900"/>
    </row>
    <row r="973" spans="1:12" ht="15.75" customHeight="1">
      <c r="A973" s="908"/>
      <c r="B973" s="908"/>
      <c r="C973" s="908"/>
      <c r="D973" s="908"/>
      <c r="E973" s="908"/>
      <c r="F973" s="908"/>
      <c r="G973" s="908"/>
      <c r="H973" s="908"/>
      <c r="I973" s="908"/>
      <c r="J973" s="1016"/>
      <c r="K973" s="900"/>
      <c r="L973" s="900"/>
    </row>
    <row r="974" spans="1:12" ht="15.75" customHeight="1">
      <c r="A974" s="908"/>
      <c r="B974" s="908"/>
      <c r="C974" s="908"/>
      <c r="D974" s="908"/>
      <c r="E974" s="908"/>
      <c r="F974" s="908"/>
      <c r="G974" s="908"/>
      <c r="H974" s="908"/>
      <c r="I974" s="908"/>
      <c r="J974" s="1016"/>
      <c r="K974" s="900"/>
      <c r="L974" s="900"/>
    </row>
    <row r="975" spans="1:12" ht="15.75" customHeight="1">
      <c r="A975" s="908"/>
      <c r="B975" s="908"/>
      <c r="C975" s="908"/>
      <c r="D975" s="908"/>
      <c r="E975" s="908"/>
      <c r="F975" s="908"/>
      <c r="G975" s="908"/>
      <c r="H975" s="908"/>
      <c r="I975" s="908"/>
      <c r="J975" s="1016"/>
      <c r="K975" s="900"/>
      <c r="L975" s="900"/>
    </row>
    <row r="976" spans="1:12" ht="15.75" customHeight="1">
      <c r="A976" s="908"/>
      <c r="B976" s="908"/>
      <c r="C976" s="908"/>
      <c r="D976" s="908"/>
      <c r="E976" s="908"/>
      <c r="F976" s="908"/>
      <c r="G976" s="908"/>
      <c r="H976" s="908"/>
      <c r="I976" s="908"/>
      <c r="J976" s="1016"/>
      <c r="K976" s="900"/>
      <c r="L976" s="900"/>
    </row>
    <row r="977" spans="1:12" ht="15.75" customHeight="1">
      <c r="A977" s="908"/>
      <c r="B977" s="908"/>
      <c r="C977" s="908"/>
      <c r="D977" s="908"/>
      <c r="E977" s="908"/>
      <c r="F977" s="908"/>
      <c r="G977" s="908"/>
      <c r="H977" s="908"/>
      <c r="I977" s="908"/>
      <c r="J977" s="1016"/>
      <c r="K977" s="900"/>
      <c r="L977" s="900"/>
    </row>
    <row r="978" spans="1:12" ht="15.75" customHeight="1">
      <c r="A978" s="908"/>
      <c r="B978" s="908"/>
      <c r="C978" s="908"/>
      <c r="D978" s="908"/>
      <c r="E978" s="908"/>
      <c r="F978" s="908"/>
      <c r="G978" s="908"/>
      <c r="H978" s="908"/>
      <c r="I978" s="908"/>
      <c r="J978" s="1016"/>
      <c r="K978" s="900"/>
      <c r="L978" s="900"/>
    </row>
    <row r="979" spans="1:12" ht="15.75" customHeight="1">
      <c r="A979" s="908"/>
      <c r="B979" s="908"/>
      <c r="C979" s="908"/>
      <c r="D979" s="908"/>
      <c r="E979" s="908"/>
      <c r="F979" s="908"/>
      <c r="G979" s="908"/>
      <c r="H979" s="908"/>
      <c r="I979" s="908"/>
      <c r="J979" s="1016"/>
      <c r="K979" s="900"/>
      <c r="L979" s="900"/>
    </row>
    <row r="980" spans="1:12" ht="15.75" customHeight="1">
      <c r="A980" s="908"/>
      <c r="B980" s="908"/>
      <c r="C980" s="908"/>
      <c r="D980" s="908"/>
      <c r="E980" s="908"/>
      <c r="F980" s="908"/>
      <c r="G980" s="908"/>
      <c r="H980" s="908"/>
      <c r="I980" s="908"/>
      <c r="J980" s="1016"/>
      <c r="K980" s="900"/>
      <c r="L980" s="900"/>
    </row>
    <row r="981" spans="1:12" ht="15.75" customHeight="1">
      <c r="A981" s="908"/>
      <c r="B981" s="908"/>
      <c r="C981" s="908"/>
      <c r="D981" s="908"/>
      <c r="E981" s="908"/>
      <c r="F981" s="908"/>
      <c r="G981" s="908"/>
      <c r="H981" s="908"/>
      <c r="I981" s="908"/>
      <c r="J981" s="1016"/>
      <c r="K981" s="900"/>
      <c r="L981" s="900"/>
    </row>
    <row r="982" spans="1:12" ht="15.75" customHeight="1">
      <c r="A982" s="908"/>
      <c r="B982" s="908"/>
      <c r="C982" s="908"/>
      <c r="D982" s="908"/>
      <c r="E982" s="908"/>
      <c r="F982" s="908"/>
      <c r="G982" s="908"/>
      <c r="H982" s="908"/>
      <c r="I982" s="908"/>
      <c r="J982" s="1016"/>
      <c r="K982" s="900"/>
      <c r="L982" s="900"/>
    </row>
    <row r="983" spans="1:12" ht="15.75" customHeight="1">
      <c r="A983" s="908"/>
      <c r="B983" s="908"/>
      <c r="C983" s="908"/>
      <c r="D983" s="908"/>
      <c r="E983" s="908"/>
      <c r="F983" s="908"/>
      <c r="G983" s="908"/>
      <c r="H983" s="908"/>
      <c r="I983" s="908"/>
      <c r="J983" s="1016"/>
      <c r="K983" s="900"/>
      <c r="L983" s="900"/>
    </row>
    <row r="984" spans="1:12" ht="15.75" customHeight="1">
      <c r="A984" s="908"/>
      <c r="B984" s="908"/>
      <c r="C984" s="908"/>
      <c r="D984" s="908"/>
      <c r="E984" s="908"/>
      <c r="F984" s="908"/>
      <c r="G984" s="908"/>
      <c r="H984" s="908"/>
      <c r="I984" s="908"/>
      <c r="J984" s="1016"/>
      <c r="K984" s="900"/>
      <c r="L984" s="900"/>
    </row>
    <row r="985" spans="1:12" ht="15.75" customHeight="1">
      <c r="A985" s="908"/>
      <c r="B985" s="908"/>
      <c r="C985" s="908"/>
      <c r="D985" s="908"/>
      <c r="E985" s="908"/>
      <c r="F985" s="908"/>
      <c r="G985" s="908"/>
      <c r="H985" s="908"/>
      <c r="I985" s="908"/>
      <c r="J985" s="1016"/>
      <c r="K985" s="900"/>
      <c r="L985" s="900"/>
    </row>
    <row r="986" spans="1:12" ht="15.75" customHeight="1">
      <c r="A986" s="908"/>
      <c r="B986" s="908"/>
      <c r="C986" s="908"/>
      <c r="D986" s="908"/>
      <c r="E986" s="908"/>
      <c r="F986" s="908"/>
      <c r="G986" s="908"/>
      <c r="H986" s="908"/>
      <c r="I986" s="908"/>
      <c r="J986" s="1016"/>
      <c r="K986" s="900"/>
      <c r="L986" s="900"/>
    </row>
    <row r="987" spans="1:12" ht="15.75" customHeight="1">
      <c r="A987" s="908"/>
      <c r="B987" s="908"/>
      <c r="C987" s="908"/>
      <c r="D987" s="908"/>
      <c r="E987" s="908"/>
      <c r="F987" s="908"/>
      <c r="G987" s="908"/>
      <c r="H987" s="908"/>
      <c r="I987" s="908"/>
      <c r="J987" s="1016"/>
      <c r="K987" s="900"/>
      <c r="L987" s="900"/>
    </row>
    <row r="988" spans="1:12" ht="15.75" customHeight="1">
      <c r="A988" s="908"/>
      <c r="B988" s="908"/>
      <c r="C988" s="908"/>
      <c r="D988" s="908"/>
      <c r="E988" s="908"/>
      <c r="F988" s="908"/>
      <c r="G988" s="908"/>
      <c r="H988" s="908"/>
      <c r="I988" s="908"/>
      <c r="J988" s="1016"/>
      <c r="K988" s="900"/>
      <c r="L988" s="900"/>
    </row>
    <row r="989" spans="1:12" ht="15.75" customHeight="1">
      <c r="A989" s="908"/>
      <c r="B989" s="908"/>
      <c r="C989" s="908"/>
      <c r="D989" s="908"/>
      <c r="E989" s="908"/>
      <c r="F989" s="908"/>
      <c r="G989" s="908"/>
      <c r="H989" s="908"/>
      <c r="I989" s="908"/>
      <c r="J989" s="1016"/>
      <c r="K989" s="900"/>
      <c r="L989" s="900"/>
    </row>
    <row r="990" spans="1:12" ht="15.75" customHeight="1">
      <c r="A990" s="908"/>
      <c r="B990" s="908"/>
      <c r="C990" s="908"/>
      <c r="D990" s="908"/>
      <c r="E990" s="908"/>
      <c r="F990" s="908"/>
      <c r="G990" s="908"/>
      <c r="H990" s="908"/>
      <c r="I990" s="908"/>
      <c r="J990" s="1016"/>
      <c r="K990" s="900"/>
      <c r="L990" s="900"/>
    </row>
    <row r="991" spans="1:12" ht="15.75" customHeight="1">
      <c r="A991" s="908"/>
      <c r="B991" s="908"/>
      <c r="C991" s="908"/>
      <c r="D991" s="908"/>
      <c r="E991" s="908"/>
      <c r="F991" s="908"/>
      <c r="G991" s="908"/>
      <c r="H991" s="908"/>
      <c r="I991" s="908"/>
      <c r="J991" s="1016"/>
      <c r="K991" s="900"/>
      <c r="L991" s="900"/>
    </row>
    <row r="992" spans="1:12" ht="15.75" customHeight="1">
      <c r="A992" s="908"/>
      <c r="B992" s="908"/>
      <c r="C992" s="908"/>
      <c r="D992" s="908"/>
      <c r="E992" s="908"/>
      <c r="F992" s="908"/>
      <c r="G992" s="908"/>
      <c r="H992" s="908"/>
      <c r="I992" s="908"/>
      <c r="J992" s="1016"/>
      <c r="K992" s="900"/>
      <c r="L992" s="900"/>
    </row>
    <row r="993" spans="1:12" ht="15.75" customHeight="1">
      <c r="A993" s="908"/>
      <c r="B993" s="908"/>
      <c r="C993" s="908"/>
      <c r="D993" s="908"/>
      <c r="E993" s="908"/>
      <c r="F993" s="908"/>
      <c r="G993" s="908"/>
      <c r="H993" s="908"/>
      <c r="I993" s="908"/>
      <c r="J993" s="1016"/>
      <c r="K993" s="900"/>
      <c r="L993" s="900"/>
    </row>
    <row r="994" spans="1:12" ht="15.75" customHeight="1">
      <c r="A994" s="908"/>
      <c r="B994" s="908"/>
      <c r="C994" s="908"/>
      <c r="D994" s="908"/>
      <c r="E994" s="908"/>
      <c r="F994" s="908"/>
      <c r="G994" s="908"/>
      <c r="H994" s="908"/>
      <c r="I994" s="908"/>
      <c r="J994" s="1016"/>
      <c r="K994" s="900"/>
      <c r="L994" s="900"/>
    </row>
    <row r="995" spans="1:12" ht="15.75" customHeight="1">
      <c r="A995" s="908"/>
      <c r="B995" s="908"/>
      <c r="C995" s="908"/>
      <c r="D995" s="908"/>
      <c r="E995" s="908"/>
      <c r="F995" s="908"/>
      <c r="G995" s="908"/>
      <c r="H995" s="908"/>
      <c r="I995" s="908"/>
      <c r="J995" s="1016"/>
      <c r="K995" s="900"/>
      <c r="L995" s="900"/>
    </row>
    <row r="996" spans="1:12" ht="15.75" customHeight="1">
      <c r="A996" s="908"/>
      <c r="B996" s="908"/>
      <c r="C996" s="908"/>
      <c r="D996" s="908"/>
      <c r="E996" s="908"/>
      <c r="F996" s="908"/>
      <c r="G996" s="908"/>
      <c r="H996" s="908"/>
      <c r="I996" s="908"/>
      <c r="J996" s="1016"/>
      <c r="K996" s="900"/>
      <c r="L996" s="900"/>
    </row>
    <row r="997" spans="1:12" ht="15.75" customHeight="1">
      <c r="A997" s="908"/>
      <c r="B997" s="908"/>
      <c r="C997" s="908"/>
      <c r="D997" s="908"/>
      <c r="E997" s="908"/>
      <c r="F997" s="908"/>
      <c r="G997" s="908"/>
      <c r="H997" s="908"/>
      <c r="I997" s="908"/>
      <c r="J997" s="1016"/>
      <c r="K997" s="900"/>
      <c r="L997" s="900"/>
    </row>
    <row r="998" spans="1:12" ht="15.75" customHeight="1">
      <c r="A998" s="908"/>
      <c r="B998" s="908"/>
      <c r="C998" s="908"/>
      <c r="D998" s="908"/>
      <c r="E998" s="908"/>
      <c r="F998" s="908"/>
      <c r="G998" s="908"/>
      <c r="H998" s="908"/>
      <c r="I998" s="908"/>
      <c r="J998" s="1016"/>
      <c r="K998" s="900"/>
      <c r="L998" s="900"/>
    </row>
    <row r="999" spans="1:12" ht="15.75" customHeight="1">
      <c r="A999" s="908"/>
      <c r="B999" s="908"/>
      <c r="C999" s="908"/>
      <c r="D999" s="908"/>
      <c r="E999" s="908"/>
      <c r="F999" s="908"/>
      <c r="G999" s="908"/>
      <c r="H999" s="908"/>
      <c r="I999" s="908"/>
      <c r="J999" s="1016"/>
      <c r="K999" s="900"/>
      <c r="L999" s="900"/>
    </row>
    <row r="1000" spans="1:12" ht="15.75" customHeight="1">
      <c r="A1000" s="908"/>
      <c r="B1000" s="908"/>
      <c r="C1000" s="908"/>
      <c r="D1000" s="908"/>
      <c r="E1000" s="908"/>
      <c r="F1000" s="908"/>
      <c r="G1000" s="908"/>
      <c r="H1000" s="908"/>
      <c r="I1000" s="908"/>
      <c r="J1000" s="1016"/>
      <c r="K1000" s="900"/>
      <c r="L1000" s="900"/>
    </row>
    <row r="1001" spans="1:12" ht="15.75" customHeight="1">
      <c r="A1001" s="908"/>
      <c r="B1001" s="908"/>
      <c r="C1001" s="908"/>
      <c r="D1001" s="908"/>
      <c r="E1001" s="908"/>
      <c r="F1001" s="908"/>
      <c r="G1001" s="908"/>
      <c r="H1001" s="908"/>
      <c r="I1001" s="908"/>
      <c r="J1001" s="1016"/>
      <c r="K1001" s="900"/>
      <c r="L1001" s="900"/>
    </row>
    <row r="1002" spans="1:12" ht="15.75" customHeight="1">
      <c r="A1002" s="908"/>
      <c r="B1002" s="908"/>
      <c r="C1002" s="908"/>
      <c r="D1002" s="908"/>
      <c r="E1002" s="908"/>
      <c r="F1002" s="908"/>
      <c r="G1002" s="908"/>
      <c r="H1002" s="908"/>
      <c r="I1002" s="908"/>
      <c r="J1002" s="1016"/>
      <c r="K1002" s="900"/>
      <c r="L1002" s="900"/>
    </row>
    <row r="1003" spans="1:12" ht="15.75" customHeight="1">
      <c r="A1003" s="908"/>
      <c r="B1003" s="908"/>
      <c r="C1003" s="908"/>
      <c r="D1003" s="908"/>
      <c r="E1003" s="908"/>
      <c r="F1003" s="908"/>
      <c r="G1003" s="908"/>
      <c r="H1003" s="908"/>
      <c r="I1003" s="908"/>
      <c r="J1003" s="1016"/>
      <c r="K1003" s="900"/>
      <c r="L1003" s="900"/>
    </row>
    <row r="1004" spans="1:12" ht="15.75" customHeight="1">
      <c r="A1004" s="908"/>
      <c r="B1004" s="908"/>
      <c r="C1004" s="908"/>
      <c r="D1004" s="908"/>
      <c r="E1004" s="908"/>
      <c r="F1004" s="908"/>
      <c r="G1004" s="908"/>
      <c r="H1004" s="908"/>
      <c r="I1004" s="908"/>
      <c r="J1004" s="1016"/>
      <c r="K1004" s="900"/>
      <c r="L1004" s="900"/>
    </row>
    <row r="1005" spans="1:12" ht="15.75" customHeight="1">
      <c r="A1005" s="908"/>
      <c r="B1005" s="908"/>
      <c r="C1005" s="908"/>
      <c r="D1005" s="908"/>
      <c r="E1005" s="908"/>
      <c r="F1005" s="908"/>
      <c r="G1005" s="908"/>
      <c r="H1005" s="908"/>
      <c r="I1005" s="908"/>
      <c r="J1005" s="1016"/>
      <c r="K1005" s="900"/>
      <c r="L1005" s="900"/>
    </row>
    <row r="1006" spans="1:12" ht="15.75" customHeight="1">
      <c r="A1006" s="908"/>
      <c r="B1006" s="908"/>
      <c r="C1006" s="908"/>
      <c r="D1006" s="908"/>
      <c r="E1006" s="908"/>
      <c r="F1006" s="908"/>
      <c r="G1006" s="908"/>
      <c r="H1006" s="908"/>
      <c r="I1006" s="908"/>
      <c r="J1006" s="1016"/>
      <c r="K1006" s="900"/>
      <c r="L1006" s="900"/>
    </row>
    <row r="1007" spans="1:12" ht="15.75" customHeight="1">
      <c r="A1007" s="908"/>
      <c r="B1007" s="908"/>
      <c r="C1007" s="908"/>
      <c r="D1007" s="908"/>
      <c r="E1007" s="908"/>
      <c r="F1007" s="908"/>
      <c r="G1007" s="908"/>
      <c r="H1007" s="908"/>
      <c r="I1007" s="908"/>
      <c r="J1007" s="1016"/>
      <c r="K1007" s="900"/>
      <c r="L1007" s="900"/>
    </row>
    <row r="1008" spans="1:12" ht="15.75" customHeight="1">
      <c r="A1008" s="908"/>
      <c r="B1008" s="908"/>
      <c r="C1008" s="908"/>
      <c r="D1008" s="908"/>
      <c r="E1008" s="908"/>
      <c r="F1008" s="908"/>
      <c r="G1008" s="908"/>
      <c r="H1008" s="908"/>
      <c r="I1008" s="908"/>
      <c r="J1008" s="1016"/>
      <c r="K1008" s="900"/>
      <c r="L1008" s="900"/>
    </row>
    <row r="1009" spans="1:12" ht="15.75" customHeight="1">
      <c r="A1009" s="908"/>
      <c r="B1009" s="908"/>
      <c r="C1009" s="908"/>
      <c r="D1009" s="908"/>
      <c r="E1009" s="908"/>
      <c r="F1009" s="908"/>
      <c r="G1009" s="908"/>
      <c r="H1009" s="908"/>
      <c r="I1009" s="908"/>
      <c r="J1009" s="1016"/>
      <c r="K1009" s="900"/>
      <c r="L1009" s="900"/>
    </row>
    <row r="1010" spans="1:12" ht="15.75" customHeight="1">
      <c r="A1010" s="908"/>
      <c r="B1010" s="908"/>
      <c r="C1010" s="908"/>
      <c r="D1010" s="908"/>
      <c r="E1010" s="908"/>
      <c r="F1010" s="908"/>
      <c r="G1010" s="908"/>
      <c r="H1010" s="908"/>
      <c r="I1010" s="908"/>
      <c r="J1010" s="1016"/>
      <c r="K1010" s="900"/>
      <c r="L1010" s="900"/>
    </row>
    <row r="1011" spans="1:12" ht="15.75" customHeight="1">
      <c r="A1011" s="908"/>
      <c r="B1011" s="908"/>
      <c r="C1011" s="908"/>
      <c r="D1011" s="908"/>
      <c r="E1011" s="908"/>
      <c r="F1011" s="908"/>
      <c r="G1011" s="908"/>
      <c r="H1011" s="908"/>
      <c r="I1011" s="908"/>
      <c r="J1011" s="1016"/>
      <c r="K1011" s="900"/>
      <c r="L1011" s="900"/>
    </row>
    <row r="1012" spans="1:12" ht="15.75" customHeight="1">
      <c r="A1012" s="908"/>
      <c r="B1012" s="908"/>
      <c r="C1012" s="908"/>
      <c r="D1012" s="908"/>
      <c r="E1012" s="908"/>
      <c r="F1012" s="908"/>
      <c r="G1012" s="908"/>
      <c r="H1012" s="908"/>
      <c r="I1012" s="908"/>
      <c r="J1012" s="1016"/>
      <c r="K1012" s="900"/>
      <c r="L1012" s="900"/>
    </row>
    <row r="1013" spans="1:12" ht="15.75" customHeight="1">
      <c r="A1013" s="908"/>
      <c r="B1013" s="908"/>
      <c r="C1013" s="908"/>
      <c r="D1013" s="908"/>
      <c r="E1013" s="908"/>
      <c r="F1013" s="908"/>
      <c r="G1013" s="908"/>
      <c r="H1013" s="908"/>
      <c r="I1013" s="908"/>
      <c r="J1013" s="1016"/>
      <c r="K1013" s="900"/>
      <c r="L1013" s="900"/>
    </row>
    <row r="1014" spans="1:12" ht="15.75" customHeight="1">
      <c r="A1014" s="908"/>
      <c r="B1014" s="908"/>
      <c r="C1014" s="908"/>
      <c r="D1014" s="908"/>
      <c r="E1014" s="908"/>
      <c r="F1014" s="908"/>
      <c r="G1014" s="908"/>
      <c r="H1014" s="908"/>
      <c r="I1014" s="908"/>
      <c r="J1014" s="1016"/>
      <c r="K1014" s="900"/>
      <c r="L1014" s="900"/>
    </row>
    <row r="1015" spans="1:12" ht="15.75" customHeight="1">
      <c r="A1015" s="908"/>
      <c r="B1015" s="908"/>
      <c r="C1015" s="908"/>
      <c r="D1015" s="908"/>
      <c r="E1015" s="908"/>
      <c r="F1015" s="908"/>
      <c r="G1015" s="908"/>
      <c r="H1015" s="908"/>
      <c r="I1015" s="908"/>
      <c r="J1015" s="1016"/>
      <c r="K1015" s="900"/>
      <c r="L1015" s="900"/>
    </row>
  </sheetData>
  <mergeCells count="388">
    <mergeCell ref="C132:I132"/>
    <mergeCell ref="C133:G133"/>
    <mergeCell ref="C134:I134"/>
    <mergeCell ref="C135:I135"/>
    <mergeCell ref="C136:I136"/>
    <mergeCell ref="C137:I137"/>
    <mergeCell ref="C138:I138"/>
    <mergeCell ref="C190:I190"/>
    <mergeCell ref="C191:I19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H121"/>
    <mergeCell ref="C105:E105"/>
    <mergeCell ref="F105:H105"/>
    <mergeCell ref="C106:I106"/>
    <mergeCell ref="B107:J107"/>
    <mergeCell ref="B108:J108"/>
    <mergeCell ref="B109:J109"/>
    <mergeCell ref="B110:J110"/>
    <mergeCell ref="C111:I111"/>
    <mergeCell ref="C112:I112"/>
    <mergeCell ref="C96:G96"/>
    <mergeCell ref="C97:I97"/>
    <mergeCell ref="C98:H98"/>
    <mergeCell ref="C99:G99"/>
    <mergeCell ref="C100:G100"/>
    <mergeCell ref="C101:I101"/>
    <mergeCell ref="C102:I102"/>
    <mergeCell ref="C103:I103"/>
    <mergeCell ref="C104:I104"/>
    <mergeCell ref="B86:H86"/>
    <mergeCell ref="B88:J88"/>
    <mergeCell ref="B89:J89"/>
    <mergeCell ref="B90:J90"/>
    <mergeCell ref="C91:I91"/>
    <mergeCell ref="C92:H92"/>
    <mergeCell ref="C93:H93"/>
    <mergeCell ref="C94:H94"/>
    <mergeCell ref="C95:E95"/>
    <mergeCell ref="F95:G95"/>
    <mergeCell ref="B63:I63"/>
    <mergeCell ref="B64:J64"/>
    <mergeCell ref="B65:J65"/>
    <mergeCell ref="B66:J66"/>
    <mergeCell ref="B67:J67"/>
    <mergeCell ref="B68:J68"/>
    <mergeCell ref="C83:H83"/>
    <mergeCell ref="C84:H84"/>
    <mergeCell ref="C85:H85"/>
    <mergeCell ref="C80:D80"/>
    <mergeCell ref="C81:H81"/>
    <mergeCell ref="C82:H82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71:H71"/>
    <mergeCell ref="B72:I72"/>
    <mergeCell ref="B73:J73"/>
    <mergeCell ref="B74:J74"/>
    <mergeCell ref="B75:J75"/>
    <mergeCell ref="B76:J76"/>
    <mergeCell ref="C77:H77"/>
    <mergeCell ref="C78:H78"/>
    <mergeCell ref="C79:H79"/>
    <mergeCell ref="C33:F33"/>
    <mergeCell ref="C34:F34"/>
    <mergeCell ref="G34:H34"/>
    <mergeCell ref="I34:J34"/>
    <mergeCell ref="C35:F35"/>
    <mergeCell ref="G35:H35"/>
    <mergeCell ref="I35:J35"/>
    <mergeCell ref="C69:I69"/>
    <mergeCell ref="C70:H70"/>
    <mergeCell ref="C49:H49"/>
    <mergeCell ref="C50:F50"/>
    <mergeCell ref="G50:H50"/>
    <mergeCell ref="C51:E51"/>
    <mergeCell ref="C52:I52"/>
    <mergeCell ref="C53:I53"/>
    <mergeCell ref="C54:E54"/>
    <mergeCell ref="C55:E55"/>
    <mergeCell ref="C56:E56"/>
    <mergeCell ref="C57:I57"/>
    <mergeCell ref="B58:I58"/>
    <mergeCell ref="C59:I59"/>
    <mergeCell ref="C60:I60"/>
    <mergeCell ref="B61:I61"/>
    <mergeCell ref="B62:J62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C290:I290"/>
    <mergeCell ref="C291:I291"/>
    <mergeCell ref="C292:I292"/>
    <mergeCell ref="B293:I293"/>
    <mergeCell ref="C294:I294"/>
    <mergeCell ref="B295:I295"/>
    <mergeCell ref="B299:J299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C280:H280"/>
    <mergeCell ref="C281:H281"/>
    <mergeCell ref="C282:H282"/>
    <mergeCell ref="C283:H283"/>
    <mergeCell ref="C284:H284"/>
    <mergeCell ref="B285:I285"/>
    <mergeCell ref="B287:I287"/>
    <mergeCell ref="C288:I288"/>
    <mergeCell ref="C289:I289"/>
    <mergeCell ref="B271:H271"/>
    <mergeCell ref="C272:H272"/>
    <mergeCell ref="B273:H273"/>
    <mergeCell ref="C274:H274"/>
    <mergeCell ref="B275:H275"/>
    <mergeCell ref="C276:H276"/>
    <mergeCell ref="C277:H277"/>
    <mergeCell ref="C278:H278"/>
    <mergeCell ref="C279:H279"/>
    <mergeCell ref="C262:I262"/>
    <mergeCell ref="K262:L262"/>
    <mergeCell ref="C263:I263"/>
    <mergeCell ref="C264:I264"/>
    <mergeCell ref="C265:I265"/>
    <mergeCell ref="C266:I266"/>
    <mergeCell ref="B267:I267"/>
    <mergeCell ref="B269:J269"/>
    <mergeCell ref="C270:H270"/>
    <mergeCell ref="B342:J342"/>
    <mergeCell ref="B344:E344"/>
    <mergeCell ref="B345:E345"/>
    <mergeCell ref="B346:E346"/>
    <mergeCell ref="B337:G337"/>
    <mergeCell ref="B338:J338"/>
    <mergeCell ref="B339:G339"/>
    <mergeCell ref="H339:J339"/>
    <mergeCell ref="B340:J340"/>
    <mergeCell ref="B341:G341"/>
    <mergeCell ref="H341:J341"/>
    <mergeCell ref="C330:I330"/>
    <mergeCell ref="B331:I331"/>
    <mergeCell ref="B333:J333"/>
    <mergeCell ref="B334:E334"/>
    <mergeCell ref="I334:J334"/>
    <mergeCell ref="B335:E335"/>
    <mergeCell ref="I335:J335"/>
    <mergeCell ref="B336:J336"/>
    <mergeCell ref="H337:J337"/>
    <mergeCell ref="C320:H320"/>
    <mergeCell ref="B321:I321"/>
    <mergeCell ref="B323:I323"/>
    <mergeCell ref="C324:I324"/>
    <mergeCell ref="C325:I325"/>
    <mergeCell ref="C326:I326"/>
    <mergeCell ref="C327:I327"/>
    <mergeCell ref="C328:I328"/>
    <mergeCell ref="B329:I329"/>
    <mergeCell ref="B311:H311"/>
    <mergeCell ref="C312:H312"/>
    <mergeCell ref="C313:H313"/>
    <mergeCell ref="C314:H314"/>
    <mergeCell ref="C315:H315"/>
    <mergeCell ref="C316:H316"/>
    <mergeCell ref="C317:H317"/>
    <mergeCell ref="C318:H318"/>
    <mergeCell ref="C319:H319"/>
    <mergeCell ref="C242:H242"/>
    <mergeCell ref="C300:I300"/>
    <mergeCell ref="B302:B303"/>
    <mergeCell ref="C304:I304"/>
    <mergeCell ref="C306:H306"/>
    <mergeCell ref="B307:H307"/>
    <mergeCell ref="C308:H308"/>
    <mergeCell ref="B309:H309"/>
    <mergeCell ref="C310:H310"/>
    <mergeCell ref="C243:H243"/>
    <mergeCell ref="C244:H244"/>
    <mergeCell ref="B245:H245"/>
    <mergeCell ref="B247:J247"/>
    <mergeCell ref="C248:I248"/>
    <mergeCell ref="C249:I249"/>
    <mergeCell ref="C250:I250"/>
    <mergeCell ref="C251:H251"/>
    <mergeCell ref="C252:I252"/>
    <mergeCell ref="C253:H253"/>
    <mergeCell ref="B254:I254"/>
    <mergeCell ref="B256:J256"/>
    <mergeCell ref="B259:J259"/>
    <mergeCell ref="C260:I260"/>
    <mergeCell ref="C261:G261"/>
    <mergeCell ref="C174:H174"/>
    <mergeCell ref="D181:J181"/>
    <mergeCell ref="D182:J182"/>
    <mergeCell ref="C236:H236"/>
    <mergeCell ref="C237:H237"/>
    <mergeCell ref="C238:H238"/>
    <mergeCell ref="C239:D239"/>
    <mergeCell ref="C240:H240"/>
    <mergeCell ref="C241:H24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I200:J200"/>
    <mergeCell ref="B201:E201"/>
    <mergeCell ref="F201:G201"/>
    <mergeCell ref="I201:J201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55:I155"/>
    <mergeCell ref="C156:I156"/>
    <mergeCell ref="B157:I157"/>
    <mergeCell ref="B158:J158"/>
    <mergeCell ref="B159:J159"/>
    <mergeCell ref="B161:J161"/>
    <mergeCell ref="C162:H162"/>
    <mergeCell ref="B163:H163"/>
    <mergeCell ref="C164:H164"/>
    <mergeCell ref="C226:I226"/>
    <mergeCell ref="B227:I227"/>
    <mergeCell ref="B229:J229"/>
    <mergeCell ref="B230:J230"/>
    <mergeCell ref="C231:I231"/>
    <mergeCell ref="C232:H232"/>
    <mergeCell ref="C233:H233"/>
    <mergeCell ref="B234:I234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B215:G215"/>
    <mergeCell ref="H215:J215"/>
    <mergeCell ref="B216:J216"/>
    <mergeCell ref="B220:J220"/>
    <mergeCell ref="C221:H221"/>
    <mergeCell ref="C222:E222"/>
    <mergeCell ref="C223:E223"/>
    <mergeCell ref="C224:E224"/>
    <mergeCell ref="C225:E225"/>
    <mergeCell ref="B208:J208"/>
    <mergeCell ref="B209:J209"/>
    <mergeCell ref="B210:J210"/>
    <mergeCell ref="B211:G211"/>
    <mergeCell ref="H211:J211"/>
    <mergeCell ref="B212:J212"/>
    <mergeCell ref="B213:G213"/>
    <mergeCell ref="H213:J213"/>
    <mergeCell ref="B214:J214"/>
    <mergeCell ref="F204:G204"/>
    <mergeCell ref="I204:J204"/>
    <mergeCell ref="B204:E204"/>
    <mergeCell ref="B205:E205"/>
    <mergeCell ref="F205:G205"/>
    <mergeCell ref="I205:J205"/>
    <mergeCell ref="B206:E206"/>
    <mergeCell ref="F206:G206"/>
    <mergeCell ref="B207:G207"/>
    <mergeCell ref="I206:J206"/>
    <mergeCell ref="I207:J207"/>
    <mergeCell ref="B185:J185"/>
    <mergeCell ref="B186:J186"/>
    <mergeCell ref="B187:I187"/>
    <mergeCell ref="C188:I188"/>
    <mergeCell ref="C189:I189"/>
    <mergeCell ref="B202:E202"/>
    <mergeCell ref="F202:G202"/>
    <mergeCell ref="I202:J202"/>
    <mergeCell ref="B203:E203"/>
    <mergeCell ref="I203:J203"/>
    <mergeCell ref="C175:H175"/>
    <mergeCell ref="C176:H176"/>
    <mergeCell ref="B177:I177"/>
    <mergeCell ref="B178:J178"/>
    <mergeCell ref="B179:H179"/>
    <mergeCell ref="B180:C182"/>
    <mergeCell ref="D180:J180"/>
    <mergeCell ref="B183:J183"/>
    <mergeCell ref="B184:J184"/>
  </mergeCells>
  <conditionalFormatting sqref="I48:I50">
    <cfRule type="cellIs" dxfId="85" priority="2" operator="equal">
      <formula>0</formula>
    </cfRule>
  </conditionalFormatting>
  <conditionalFormatting sqref="I121">
    <cfRule type="cellIs" dxfId="84" priority="4" operator="notEqual">
      <formula>"OK"</formula>
    </cfRule>
  </conditionalFormatting>
  <conditionalFormatting sqref="J133 J261">
    <cfRule type="cellIs" dxfId="83" priority="1" operator="equal">
      <formula>0</formula>
    </cfRule>
  </conditionalFormatting>
  <printOptions horizontalCentered="1"/>
  <pageMargins left="0.19685039370078741" right="0.11811023622047245" top="0.19685039370078741" bottom="0.19685039370078741" header="0" footer="0"/>
  <pageSetup paperSize="9" scale="63" fitToHeight="0" orientation="landscape" r:id="rId1"/>
  <headerFooter>
    <oddFooter>&amp;C&amp;A » Página -&amp;P  de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L996"/>
  <sheetViews>
    <sheetView view="pageBreakPreview" topLeftCell="A48" zoomScale="60" zoomScaleNormal="100" workbookViewId="0"/>
  </sheetViews>
  <sheetFormatPr defaultColWidth="14.453125" defaultRowHeight="15" customHeight="1" outlineLevelRow="1"/>
  <cols>
    <col min="1" max="1" width="2.26953125" customWidth="1"/>
    <col min="2" max="2" width="14.453125" customWidth="1"/>
    <col min="3" max="3" width="19.453125" customWidth="1"/>
    <col min="4" max="4" width="26.453125" customWidth="1"/>
    <col min="5" max="5" width="30.81640625" customWidth="1"/>
    <col min="6" max="6" width="26.453125" customWidth="1"/>
    <col min="7" max="7" width="25.08984375" customWidth="1"/>
    <col min="8" max="8" width="28.453125" customWidth="1"/>
    <col min="9" max="9" width="22.08984375" customWidth="1"/>
    <col min="10" max="10" width="31.26953125" customWidth="1"/>
    <col min="11" max="11" width="40" hidden="1" customWidth="1"/>
    <col min="12" max="12" width="51.54296875" hidden="1" customWidth="1"/>
  </cols>
  <sheetData>
    <row r="1" spans="1:12" ht="11.25" customHeight="1">
      <c r="A1" s="716" t="b">
        <v>1</v>
      </c>
      <c r="B1" s="985" t="s">
        <v>308</v>
      </c>
      <c r="C1" s="986"/>
      <c r="D1" s="986"/>
      <c r="E1" s="986"/>
      <c r="F1" s="986"/>
      <c r="G1" s="986"/>
      <c r="H1" s="986"/>
      <c r="I1" s="986"/>
      <c r="J1" s="987"/>
      <c r="K1" s="718"/>
      <c r="L1" s="718"/>
    </row>
    <row r="2" spans="1:12" ht="20.25" customHeight="1">
      <c r="A2" s="716"/>
      <c r="B2" s="1633" t="str">
        <f>'1-ABA-DE-CARREGAMENTO'!C11</f>
        <v xml:space="preserve">S E R V I Ç O S     =    CUIDADOR - INSTRUTOR - PSICOPEDAGOGO - MONITOR </v>
      </c>
      <c r="C2" s="1481"/>
      <c r="D2" s="1481"/>
      <c r="E2" s="1481"/>
      <c r="F2" s="1481"/>
      <c r="G2" s="1481"/>
      <c r="H2" s="1481"/>
      <c r="I2" s="1481"/>
      <c r="J2" s="1623"/>
      <c r="K2" s="719"/>
      <c r="L2" s="719"/>
    </row>
    <row r="3" spans="1:12" ht="21.75" customHeight="1">
      <c r="A3" s="716"/>
      <c r="B3" s="1634" t="str">
        <f>'1-ABA-DE-CARREGAMENTO'!E33</f>
        <v>3341-05_INSTRUTOR-de-ALUNOS_40hs</v>
      </c>
      <c r="C3" s="1575"/>
      <c r="D3" s="1575"/>
      <c r="E3" s="1575"/>
      <c r="F3" s="1575"/>
      <c r="G3" s="1575"/>
      <c r="H3" s="1575"/>
      <c r="I3" s="1575"/>
      <c r="J3" s="1608"/>
      <c r="K3" s="720"/>
      <c r="L3" s="720"/>
    </row>
    <row r="4" spans="1:12" ht="11.25" customHeight="1">
      <c r="A4" s="716"/>
      <c r="B4" s="1628" t="s">
        <v>309</v>
      </c>
      <c r="C4" s="1575"/>
      <c r="D4" s="1575"/>
      <c r="E4" s="1575"/>
      <c r="F4" s="1608"/>
      <c r="G4" s="1635">
        <f>'1-ABA-DE-CARREGAMENTO'!C12</f>
        <v>0</v>
      </c>
      <c r="H4" s="1575"/>
      <c r="I4" s="1575"/>
      <c r="J4" s="1608"/>
      <c r="K4" s="721"/>
      <c r="L4" s="721"/>
    </row>
    <row r="5" spans="1:12" ht="11.25" customHeight="1">
      <c r="A5" s="716"/>
      <c r="B5" s="1577" t="s">
        <v>310</v>
      </c>
      <c r="C5" s="1477"/>
      <c r="D5" s="1477"/>
      <c r="E5" s="1477"/>
      <c r="F5" s="1478"/>
      <c r="G5" s="1636">
        <f>'1-ABA-DE-CARREGAMENTO'!C13</f>
        <v>0</v>
      </c>
      <c r="H5" s="1477"/>
      <c r="I5" s="1477"/>
      <c r="J5" s="1478"/>
      <c r="K5" s="721"/>
      <c r="L5" s="721"/>
    </row>
    <row r="6" spans="1:12" ht="11.25" customHeight="1">
      <c r="A6" s="716"/>
      <c r="B6" s="1637">
        <f>'1-ABA-DE-CARREGAMENTO'!C16</f>
        <v>0</v>
      </c>
      <c r="C6" s="1477"/>
      <c r="D6" s="1477"/>
      <c r="E6" s="1477"/>
      <c r="F6" s="1477"/>
      <c r="G6" s="1477"/>
      <c r="H6" s="1477"/>
      <c r="I6" s="1477"/>
      <c r="J6" s="1478"/>
      <c r="K6" s="723"/>
      <c r="L6" s="723"/>
    </row>
    <row r="7" spans="1:12" ht="11.25" customHeight="1">
      <c r="A7" s="716"/>
      <c r="B7" s="1572" t="s">
        <v>311</v>
      </c>
      <c r="C7" s="1477"/>
      <c r="D7" s="1477"/>
      <c r="E7" s="1477"/>
      <c r="F7" s="1477"/>
      <c r="G7" s="1477"/>
      <c r="H7" s="1477"/>
      <c r="I7" s="1477"/>
      <c r="J7" s="1478"/>
      <c r="K7" s="724"/>
      <c r="L7" s="724"/>
    </row>
    <row r="8" spans="1:12" ht="15.75" customHeight="1">
      <c r="A8" s="716"/>
      <c r="B8" s="696" t="s">
        <v>312</v>
      </c>
      <c r="C8" s="1577" t="s">
        <v>313</v>
      </c>
      <c r="D8" s="1477"/>
      <c r="E8" s="1477"/>
      <c r="F8" s="1477"/>
      <c r="G8" s="1477"/>
      <c r="H8" s="1478"/>
      <c r="I8" s="1638">
        <f>'1-ABA-DE-CARREGAMENTO'!C16</f>
        <v>0</v>
      </c>
      <c r="J8" s="1478"/>
      <c r="K8" s="725"/>
      <c r="L8" s="725"/>
    </row>
    <row r="9" spans="1:12" ht="15.75" customHeight="1">
      <c r="A9" s="716"/>
      <c r="B9" s="696" t="s">
        <v>314</v>
      </c>
      <c r="C9" s="1577" t="s">
        <v>315</v>
      </c>
      <c r="D9" s="1477"/>
      <c r="E9" s="1477"/>
      <c r="F9" s="1477"/>
      <c r="G9" s="1477"/>
      <c r="H9" s="1478"/>
      <c r="I9" s="1636" t="str">
        <f>'1-ABA-DE-CARREGAMENTO'!C14</f>
        <v>PANAMBI__PB</v>
      </c>
      <c r="J9" s="1478"/>
      <c r="K9" s="721"/>
      <c r="L9" s="721"/>
    </row>
    <row r="10" spans="1:12" ht="15.75" customHeight="1">
      <c r="A10" s="716"/>
      <c r="B10" s="696" t="s">
        <v>316</v>
      </c>
      <c r="C10" s="1577" t="s">
        <v>317</v>
      </c>
      <c r="D10" s="1477"/>
      <c r="E10" s="1477"/>
      <c r="F10" s="1477"/>
      <c r="G10" s="1477"/>
      <c r="H10" s="1478"/>
      <c r="I10" s="1636" t="str">
        <f>'1-ABA-DE-CARREGAMENTO'!E35</f>
        <v>RS001208/2026</v>
      </c>
      <c r="J10" s="1478"/>
      <c r="K10" s="721"/>
      <c r="L10" s="721"/>
    </row>
    <row r="11" spans="1:12" ht="15.75" customHeight="1">
      <c r="A11" s="716"/>
      <c r="B11" s="696" t="s">
        <v>318</v>
      </c>
      <c r="C11" s="1577" t="s">
        <v>319</v>
      </c>
      <c r="D11" s="1477"/>
      <c r="E11" s="1477"/>
      <c r="F11" s="1477"/>
      <c r="G11" s="1477"/>
      <c r="H11" s="1478"/>
      <c r="I11" s="1719">
        <f>'1-ABA-DE-CARREGAMENTO'!E94</f>
        <v>30</v>
      </c>
      <c r="J11" s="1478"/>
      <c r="K11" s="721"/>
      <c r="L11" s="721"/>
    </row>
    <row r="12" spans="1:12" ht="15.75" customHeight="1">
      <c r="A12" s="716"/>
      <c r="B12" s="1640" t="s">
        <v>320</v>
      </c>
      <c r="C12" s="1477"/>
      <c r="D12" s="1477"/>
      <c r="E12" s="1477"/>
      <c r="F12" s="1477"/>
      <c r="G12" s="1477"/>
      <c r="H12" s="1477"/>
      <c r="I12" s="1477"/>
      <c r="J12" s="1478"/>
      <c r="K12" s="727"/>
      <c r="L12" s="727"/>
    </row>
    <row r="13" spans="1:12" ht="40.5" customHeight="1">
      <c r="A13" s="716"/>
      <c r="B13" s="1641" t="str">
        <f>'1-ABA-DE-CARREGAMENTO'!C11</f>
        <v xml:space="preserve">S E R V I Ç O S     =    CUIDADOR - INSTRUTOR - PSICOPEDAGOGO - MONITOR </v>
      </c>
      <c r="C13" s="1477"/>
      <c r="D13" s="1477"/>
      <c r="E13" s="1477"/>
      <c r="F13" s="1521"/>
      <c r="G13" s="1641" t="s">
        <v>321</v>
      </c>
      <c r="H13" s="1478"/>
      <c r="I13" s="1641" t="s">
        <v>322</v>
      </c>
      <c r="J13" s="1478"/>
      <c r="K13" s="697"/>
      <c r="L13" s="697"/>
    </row>
    <row r="14" spans="1:12" ht="15.75" hidden="1" customHeight="1" outlineLevel="1">
      <c r="A14" s="716"/>
      <c r="B14" s="1611" t="s">
        <v>323</v>
      </c>
      <c r="C14" s="1477"/>
      <c r="D14" s="1477"/>
      <c r="E14" s="1477"/>
      <c r="F14" s="1478"/>
      <c r="G14" s="1612" t="s">
        <v>324</v>
      </c>
      <c r="H14" s="1478"/>
      <c r="I14" s="1613" t="s">
        <v>325</v>
      </c>
      <c r="J14" s="1478"/>
      <c r="K14" s="728"/>
      <c r="L14" s="728"/>
    </row>
    <row r="15" spans="1:12" ht="15.75" hidden="1" customHeight="1" outlineLevel="1">
      <c r="A15" s="716"/>
      <c r="B15" s="1611" t="s">
        <v>326</v>
      </c>
      <c r="C15" s="1477"/>
      <c r="D15" s="1477"/>
      <c r="E15" s="1477"/>
      <c r="F15" s="1478"/>
      <c r="G15" s="1612" t="s">
        <v>324</v>
      </c>
      <c r="H15" s="1478"/>
      <c r="I15" s="1613" t="s">
        <v>325</v>
      </c>
      <c r="J15" s="1478"/>
      <c r="K15" s="728"/>
      <c r="L15" s="728"/>
    </row>
    <row r="16" spans="1:12" ht="15.75" hidden="1" customHeight="1" outlineLevel="1">
      <c r="A16" s="716"/>
      <c r="B16" s="1611" t="s">
        <v>327</v>
      </c>
      <c r="C16" s="1477"/>
      <c r="D16" s="1477"/>
      <c r="E16" s="1477"/>
      <c r="F16" s="1478"/>
      <c r="G16" s="1612" t="s">
        <v>324</v>
      </c>
      <c r="H16" s="1478"/>
      <c r="I16" s="1613" t="s">
        <v>325</v>
      </c>
      <c r="J16" s="1478"/>
      <c r="K16" s="728"/>
      <c r="L16" s="728"/>
    </row>
    <row r="17" spans="1:12" ht="15.75" customHeight="1" collapsed="1">
      <c r="A17" s="716"/>
      <c r="B17" s="1611" t="str">
        <f>B3</f>
        <v>3341-05_INSTRUTOR-de-ALUNOS_40hs</v>
      </c>
      <c r="C17" s="1477"/>
      <c r="D17" s="1477"/>
      <c r="E17" s="1477"/>
      <c r="F17" s="1478"/>
      <c r="G17" s="1612" t="s">
        <v>324</v>
      </c>
      <c r="H17" s="1478"/>
      <c r="I17" s="1613">
        <f>'1-ABA-DE-CARREGAMENTO'!E92</f>
        <v>3</v>
      </c>
      <c r="J17" s="1478"/>
      <c r="K17" s="728"/>
      <c r="L17" s="728"/>
    </row>
    <row r="18" spans="1:12" ht="15.75" hidden="1" customHeight="1" outlineLevel="1">
      <c r="A18" s="716"/>
      <c r="B18" s="1611" t="s">
        <v>328</v>
      </c>
      <c r="C18" s="1477"/>
      <c r="D18" s="1477"/>
      <c r="E18" s="1477"/>
      <c r="F18" s="1478"/>
      <c r="G18" s="1612" t="s">
        <v>324</v>
      </c>
      <c r="H18" s="1478"/>
      <c r="I18" s="1613" t="s">
        <v>325</v>
      </c>
      <c r="J18" s="1478"/>
      <c r="K18" s="728"/>
      <c r="L18" s="728"/>
    </row>
    <row r="19" spans="1:12" ht="15.75" hidden="1" customHeight="1" outlineLevel="1">
      <c r="A19" s="716"/>
      <c r="B19" s="1611" t="s">
        <v>683</v>
      </c>
      <c r="C19" s="1477"/>
      <c r="D19" s="1477"/>
      <c r="E19" s="1477"/>
      <c r="F19" s="1478"/>
      <c r="G19" s="1612" t="s">
        <v>324</v>
      </c>
      <c r="H19" s="1478"/>
      <c r="I19" s="1613" t="s">
        <v>325</v>
      </c>
      <c r="J19" s="1478"/>
      <c r="K19" s="728"/>
      <c r="L19" s="728"/>
    </row>
    <row r="20" spans="1:12" ht="15.75" customHeight="1" collapsed="1">
      <c r="A20" s="716"/>
      <c r="B20" s="1615" t="s">
        <v>330</v>
      </c>
      <c r="C20" s="1477"/>
      <c r="D20" s="1477"/>
      <c r="E20" s="1477"/>
      <c r="F20" s="1477"/>
      <c r="G20" s="1477"/>
      <c r="H20" s="1478"/>
      <c r="I20" s="1614">
        <f>SUM(I14:I19)</f>
        <v>3</v>
      </c>
      <c r="J20" s="1478"/>
      <c r="K20" s="729"/>
      <c r="L20" s="729"/>
    </row>
    <row r="21" spans="1:12" ht="15.75" customHeight="1">
      <c r="A21" s="716"/>
      <c r="B21" s="1616"/>
      <c r="C21" s="1477"/>
      <c r="D21" s="1477"/>
      <c r="E21" s="1477"/>
      <c r="F21" s="1477"/>
      <c r="G21" s="1477"/>
      <c r="H21" s="1477"/>
      <c r="I21" s="1477"/>
      <c r="J21" s="1478"/>
      <c r="K21" s="697"/>
      <c r="L21" s="697"/>
    </row>
    <row r="22" spans="1:12" ht="32.25" customHeight="1">
      <c r="A22" s="716"/>
      <c r="B22" s="1617" t="s">
        <v>331</v>
      </c>
      <c r="C22" s="1477"/>
      <c r="D22" s="1477"/>
      <c r="E22" s="1477"/>
      <c r="F22" s="1477"/>
      <c r="G22" s="1477"/>
      <c r="H22" s="1477"/>
      <c r="I22" s="1477"/>
      <c r="J22" s="1478"/>
      <c r="K22" s="730"/>
      <c r="L22" s="730"/>
    </row>
    <row r="23" spans="1:12" ht="15.75" customHeight="1">
      <c r="A23" s="716"/>
      <c r="B23" s="1618"/>
      <c r="C23" s="1477"/>
      <c r="D23" s="1477"/>
      <c r="E23" s="1477"/>
      <c r="F23" s="1477"/>
      <c r="G23" s="1477"/>
      <c r="H23" s="1477"/>
      <c r="I23" s="1477"/>
      <c r="J23" s="1478"/>
      <c r="K23" s="697"/>
      <c r="L23" s="697"/>
    </row>
    <row r="24" spans="1:12" ht="15.75" customHeight="1">
      <c r="A24" s="716"/>
      <c r="B24" s="1619" t="s">
        <v>684</v>
      </c>
      <c r="C24" s="1477"/>
      <c r="D24" s="1477"/>
      <c r="E24" s="1477"/>
      <c r="F24" s="1477"/>
      <c r="G24" s="1477"/>
      <c r="H24" s="1477"/>
      <c r="I24" s="1477"/>
      <c r="J24" s="1478"/>
      <c r="K24" s="731"/>
      <c r="L24" s="731"/>
    </row>
    <row r="25" spans="1:12" ht="15.75" customHeight="1">
      <c r="A25" s="716"/>
      <c r="B25" s="1620"/>
      <c r="C25" s="1477"/>
      <c r="D25" s="1477"/>
      <c r="E25" s="1477"/>
      <c r="F25" s="1477"/>
      <c r="G25" s="1477"/>
      <c r="H25" s="1477"/>
      <c r="I25" s="1477"/>
      <c r="J25" s="1478"/>
      <c r="K25" s="724"/>
      <c r="L25" s="724"/>
    </row>
    <row r="26" spans="1:12" ht="15.75" customHeight="1">
      <c r="A26" s="697"/>
      <c r="B26" s="1572" t="s">
        <v>333</v>
      </c>
      <c r="C26" s="1477"/>
      <c r="D26" s="1477"/>
      <c r="E26" s="1477"/>
      <c r="F26" s="1477"/>
      <c r="G26" s="1477"/>
      <c r="H26" s="1477"/>
      <c r="I26" s="1477"/>
      <c r="J26" s="1478"/>
      <c r="K26" s="724"/>
      <c r="L26" s="724"/>
    </row>
    <row r="27" spans="1:12" ht="15.75" customHeight="1">
      <c r="A27" s="716"/>
      <c r="B27" s="696">
        <v>1</v>
      </c>
      <c r="C27" s="1577" t="s">
        <v>334</v>
      </c>
      <c r="D27" s="1477"/>
      <c r="E27" s="1477"/>
      <c r="F27" s="1477"/>
      <c r="G27" s="1477"/>
      <c r="H27" s="1478"/>
      <c r="I27" s="1621" t="str">
        <f>'1-ABA-DE-CARREGAMENTO'!E33</f>
        <v>3341-05_INSTRUTOR-de-ALUNOS_40hs</v>
      </c>
      <c r="J27" s="1478"/>
      <c r="K27" s="732"/>
      <c r="L27" s="732"/>
    </row>
    <row r="28" spans="1:12" ht="15.75" customHeight="1">
      <c r="A28" s="716"/>
      <c r="B28" s="733">
        <v>2</v>
      </c>
      <c r="C28" s="1656" t="s">
        <v>335</v>
      </c>
      <c r="D28" s="1477"/>
      <c r="E28" s="1477"/>
      <c r="F28" s="1477"/>
      <c r="G28" s="1477"/>
      <c r="H28" s="1478"/>
      <c r="I28" s="1624" t="str">
        <f>LEFT(I27,7)</f>
        <v>3341-05</v>
      </c>
      <c r="J28" s="1478"/>
      <c r="K28" s="734"/>
      <c r="L28" s="734"/>
    </row>
    <row r="29" spans="1:12" ht="45.75" customHeight="1">
      <c r="A29" s="716"/>
      <c r="B29" s="696">
        <v>3</v>
      </c>
      <c r="C29" s="1625" t="s">
        <v>336</v>
      </c>
      <c r="D29" s="1468"/>
      <c r="E29" s="988">
        <v>220</v>
      </c>
      <c r="F29" s="737">
        <f>'1-ABA-DE-CARREGAMENTO'!E37</f>
        <v>2190.98</v>
      </c>
      <c r="G29" s="738" t="s">
        <v>337</v>
      </c>
      <c r="H29" s="739">
        <v>200</v>
      </c>
      <c r="I29" s="1626">
        <f>F29</f>
        <v>2190.98</v>
      </c>
      <c r="J29" s="1478"/>
      <c r="K29" s="740"/>
      <c r="L29" s="740"/>
    </row>
    <row r="30" spans="1:12" ht="15.75" customHeight="1">
      <c r="A30" s="716"/>
      <c r="B30" s="696">
        <v>4</v>
      </c>
      <c r="C30" s="1577" t="s">
        <v>338</v>
      </c>
      <c r="D30" s="1477"/>
      <c r="E30" s="1477"/>
      <c r="F30" s="1477"/>
      <c r="G30" s="1477"/>
      <c r="H30" s="1478"/>
      <c r="I30" s="1627"/>
      <c r="J30" s="1478"/>
      <c r="K30" s="741"/>
      <c r="L30" s="741"/>
    </row>
    <row r="31" spans="1:12" ht="15.75" customHeight="1">
      <c r="A31" s="716"/>
      <c r="B31" s="696">
        <v>5</v>
      </c>
      <c r="C31" s="1577" t="s">
        <v>339</v>
      </c>
      <c r="D31" s="1477"/>
      <c r="E31" s="1477"/>
      <c r="F31" s="1477"/>
      <c r="G31" s="1477"/>
      <c r="H31" s="1478"/>
      <c r="I31" s="1629" t="str">
        <f>'1-ABA-DE-CARREGAMENTO'!E36</f>
        <v xml:space="preserve">01 de ABRIL </v>
      </c>
      <c r="J31" s="1478"/>
      <c r="K31" s="742"/>
      <c r="L31" s="742"/>
    </row>
    <row r="32" spans="1:12" ht="26.25" customHeight="1">
      <c r="A32" s="716"/>
      <c r="B32" s="743">
        <v>6</v>
      </c>
      <c r="C32" s="1560" t="s">
        <v>685</v>
      </c>
      <c r="D32" s="1477"/>
      <c r="E32" s="1477"/>
      <c r="F32" s="1477"/>
      <c r="G32" s="1477"/>
      <c r="H32" s="1478"/>
      <c r="I32" s="1630">
        <f>ROUND(F29/200,2)</f>
        <v>10.95</v>
      </c>
      <c r="J32" s="1478"/>
      <c r="K32" s="744"/>
      <c r="L32" s="744"/>
    </row>
    <row r="33" spans="1:12" ht="26.25" customHeight="1">
      <c r="A33" s="716"/>
      <c r="B33" s="743">
        <v>7</v>
      </c>
      <c r="C33" s="1560" t="s">
        <v>686</v>
      </c>
      <c r="D33" s="1477"/>
      <c r="E33" s="1477"/>
      <c r="F33" s="1478"/>
      <c r="G33" s="1631"/>
      <c r="H33" s="1478"/>
      <c r="I33" s="1632">
        <f>(I32*I50)+I32</f>
        <v>13.139999999999999</v>
      </c>
      <c r="J33" s="1478"/>
      <c r="K33" s="744"/>
      <c r="L33" s="744"/>
    </row>
    <row r="34" spans="1:12" ht="26.25" customHeight="1">
      <c r="A34" s="716"/>
      <c r="B34" s="743">
        <v>8</v>
      </c>
      <c r="C34" s="1560" t="s">
        <v>687</v>
      </c>
      <c r="D34" s="1477"/>
      <c r="E34" s="1477"/>
      <c r="F34" s="1478"/>
      <c r="G34" s="1631"/>
      <c r="H34" s="1478"/>
      <c r="I34" s="1630">
        <f t="shared" ref="I34:I35" si="0">I32*1.5</f>
        <v>16.424999999999997</v>
      </c>
      <c r="J34" s="1478"/>
      <c r="K34" s="744"/>
      <c r="L34" s="744"/>
    </row>
    <row r="35" spans="1:12" ht="26.25" customHeight="1">
      <c r="A35" s="716"/>
      <c r="B35" s="743">
        <v>9</v>
      </c>
      <c r="C35" s="1560" t="s">
        <v>688</v>
      </c>
      <c r="D35" s="1477"/>
      <c r="E35" s="1477"/>
      <c r="F35" s="1478"/>
      <c r="G35" s="1631" t="s">
        <v>344</v>
      </c>
      <c r="H35" s="1478"/>
      <c r="I35" s="1632">
        <f t="shared" si="0"/>
        <v>19.709999999999997</v>
      </c>
      <c r="J35" s="1478"/>
      <c r="K35" s="744"/>
      <c r="L35" s="744"/>
    </row>
    <row r="36" spans="1:12" ht="26.25" customHeight="1">
      <c r="A36" s="716"/>
      <c r="B36" s="743">
        <v>10</v>
      </c>
      <c r="C36" s="1560" t="s">
        <v>689</v>
      </c>
      <c r="D36" s="1477"/>
      <c r="E36" s="1477"/>
      <c r="F36" s="1477"/>
      <c r="G36" s="1477"/>
      <c r="H36" s="1478"/>
      <c r="I36" s="1642">
        <f>I33*1.2</f>
        <v>15.767999999999997</v>
      </c>
      <c r="J36" s="1478"/>
      <c r="K36" s="744"/>
      <c r="L36" s="744"/>
    </row>
    <row r="37" spans="1:12" ht="26.25" customHeight="1">
      <c r="A37" s="716"/>
      <c r="B37" s="743">
        <v>11</v>
      </c>
      <c r="C37" s="1560" t="s">
        <v>690</v>
      </c>
      <c r="D37" s="1477"/>
      <c r="E37" s="1477"/>
      <c r="F37" s="1477"/>
      <c r="G37" s="1477"/>
      <c r="H37" s="1478"/>
      <c r="I37" s="1643">
        <f>I33*2</f>
        <v>26.279999999999998</v>
      </c>
      <c r="J37" s="1478"/>
      <c r="K37" s="744"/>
      <c r="L37" s="744"/>
    </row>
    <row r="38" spans="1:12" ht="14.25" customHeight="1" outlineLevel="1">
      <c r="A38" s="716"/>
      <c r="B38" s="743">
        <v>12</v>
      </c>
      <c r="C38" s="1560" t="s">
        <v>691</v>
      </c>
      <c r="D38" s="1477"/>
      <c r="E38" s="1477"/>
      <c r="F38" s="1477"/>
      <c r="G38" s="1477"/>
      <c r="H38" s="1478"/>
      <c r="I38" s="1630">
        <f>I29*'1-ABA-DE-CARREGAMENTO'!D44</f>
        <v>0</v>
      </c>
      <c r="J38" s="1478"/>
      <c r="K38" s="744"/>
      <c r="L38" s="744"/>
    </row>
    <row r="39" spans="1:12" ht="11.25" customHeight="1" outlineLevel="1">
      <c r="A39" s="716"/>
      <c r="B39" s="743">
        <v>13</v>
      </c>
      <c r="C39" s="1560" t="s">
        <v>348</v>
      </c>
      <c r="D39" s="1477"/>
      <c r="E39" s="1477"/>
      <c r="F39" s="1477"/>
      <c r="G39" s="1477"/>
      <c r="H39" s="1478"/>
      <c r="I39" s="1630">
        <f>ROUND(I32/6,2)*1.3*0</f>
        <v>0</v>
      </c>
      <c r="J39" s="1478"/>
      <c r="K39" s="744"/>
      <c r="L39" s="744"/>
    </row>
    <row r="40" spans="1:12" ht="28.5" customHeight="1">
      <c r="A40" s="716"/>
      <c r="B40" s="746">
        <v>14</v>
      </c>
      <c r="C40" s="1646" t="s">
        <v>349</v>
      </c>
      <c r="D40" s="1647"/>
      <c r="E40" s="1647"/>
      <c r="F40" s="1647"/>
      <c r="G40" s="1647"/>
      <c r="H40" s="1648"/>
      <c r="I40" s="1649">
        <f>'1-ABA-DE-CARREGAMENTO'!E93</f>
        <v>1</v>
      </c>
      <c r="J40" s="1650"/>
      <c r="K40" s="747"/>
      <c r="L40" s="747"/>
    </row>
    <row r="41" spans="1:12" ht="18" customHeight="1">
      <c r="A41" s="716"/>
      <c r="B41" s="743">
        <v>15</v>
      </c>
      <c r="C41" s="1651" t="s">
        <v>350</v>
      </c>
      <c r="D41" s="1575"/>
      <c r="E41" s="1575"/>
      <c r="F41" s="1575"/>
      <c r="G41" s="1575"/>
      <c r="H41" s="1608"/>
      <c r="I41" s="1714">
        <f>'1-ABA-DE-CARREGAMENTO'!E42</f>
        <v>1621</v>
      </c>
      <c r="J41" s="1478"/>
      <c r="K41" s="749"/>
      <c r="L41" s="749"/>
    </row>
    <row r="42" spans="1:12" ht="6" customHeight="1">
      <c r="A42" s="716"/>
      <c r="B42" s="1618"/>
      <c r="C42" s="1477"/>
      <c r="D42" s="1477"/>
      <c r="E42" s="1477"/>
      <c r="F42" s="1477"/>
      <c r="G42" s="1477"/>
      <c r="H42" s="1477"/>
      <c r="I42" s="1477"/>
      <c r="J42" s="1478"/>
      <c r="K42" s="697"/>
      <c r="L42" s="697"/>
    </row>
    <row r="43" spans="1:12" ht="30" customHeight="1">
      <c r="A43" s="716"/>
      <c r="B43" s="1653" t="s">
        <v>351</v>
      </c>
      <c r="C43" s="1477"/>
      <c r="D43" s="1477"/>
      <c r="E43" s="1477"/>
      <c r="F43" s="1477"/>
      <c r="G43" s="1477"/>
      <c r="H43" s="1477"/>
      <c r="I43" s="1477"/>
      <c r="J43" s="1478"/>
      <c r="K43" s="750"/>
      <c r="L43" s="750"/>
    </row>
    <row r="44" spans="1:12" ht="6" customHeight="1">
      <c r="A44" s="716"/>
      <c r="B44" s="1570"/>
      <c r="C44" s="1477"/>
      <c r="D44" s="1477"/>
      <c r="E44" s="1477"/>
      <c r="F44" s="1477"/>
      <c r="G44" s="1477"/>
      <c r="H44" s="1477"/>
      <c r="I44" s="1477"/>
      <c r="J44" s="1478"/>
      <c r="K44" s="723"/>
      <c r="L44" s="723"/>
    </row>
    <row r="45" spans="1:12" ht="16.5" customHeight="1">
      <c r="A45" s="716"/>
      <c r="B45" s="1571" t="s">
        <v>352</v>
      </c>
      <c r="C45" s="1477"/>
      <c r="D45" s="1477"/>
      <c r="E45" s="1477"/>
      <c r="F45" s="1477"/>
      <c r="G45" s="1477"/>
      <c r="H45" s="1477"/>
      <c r="I45" s="1477"/>
      <c r="J45" s="1478"/>
      <c r="K45" s="751"/>
      <c r="L45" s="751"/>
    </row>
    <row r="46" spans="1:12" ht="16.5" customHeight="1">
      <c r="A46" s="752"/>
      <c r="B46" s="753">
        <v>1</v>
      </c>
      <c r="C46" s="1603" t="s">
        <v>353</v>
      </c>
      <c r="D46" s="1477"/>
      <c r="E46" s="1477"/>
      <c r="F46" s="1477"/>
      <c r="G46" s="1477"/>
      <c r="H46" s="1478"/>
      <c r="I46" s="754" t="s">
        <v>354</v>
      </c>
      <c r="J46" s="992" t="s">
        <v>355</v>
      </c>
      <c r="K46" s="727"/>
      <c r="L46" s="727"/>
    </row>
    <row r="47" spans="1:12" ht="24.75" customHeight="1">
      <c r="A47" s="716"/>
      <c r="B47" s="696" t="s">
        <v>312</v>
      </c>
      <c r="C47" s="1577" t="s">
        <v>692</v>
      </c>
      <c r="D47" s="1477"/>
      <c r="E47" s="1477"/>
      <c r="F47" s="1478"/>
      <c r="G47" s="755" t="s">
        <v>52</v>
      </c>
      <c r="H47" s="756">
        <f>'1-ABA-DE-CARREGAMENTO'!E52</f>
        <v>200</v>
      </c>
      <c r="I47" s="755"/>
      <c r="J47" s="758">
        <f>I29*I40</f>
        <v>2190.98</v>
      </c>
      <c r="K47" s="759"/>
      <c r="L47" s="759"/>
    </row>
    <row r="48" spans="1:12" ht="19.5" customHeight="1">
      <c r="A48" s="716"/>
      <c r="B48" s="696" t="s">
        <v>314</v>
      </c>
      <c r="C48" s="1577" t="s">
        <v>693</v>
      </c>
      <c r="D48" s="1477"/>
      <c r="E48" s="1477"/>
      <c r="F48" s="1654" t="str">
        <f>'1-ABA-DE-CARREGAMENTO'!E38</f>
        <v>SEM ADICIONAL DE FUNÇÃO</v>
      </c>
      <c r="G48" s="1477"/>
      <c r="H48" s="1478"/>
      <c r="I48" s="994">
        <f>'1-ABA-DE-CARREGAMENTO'!E39</f>
        <v>0</v>
      </c>
      <c r="J48" s="758">
        <f>J47*I48</f>
        <v>0</v>
      </c>
      <c r="K48" s="759"/>
      <c r="L48" s="759"/>
    </row>
    <row r="49" spans="1:12" ht="33" customHeight="1">
      <c r="A49" s="716"/>
      <c r="B49" s="696" t="s">
        <v>316</v>
      </c>
      <c r="C49" s="1577" t="s">
        <v>694</v>
      </c>
      <c r="D49" s="1477"/>
      <c r="E49" s="1477"/>
      <c r="F49" s="1477"/>
      <c r="G49" s="1477"/>
      <c r="H49" s="1478"/>
      <c r="I49" s="871">
        <f>'1-ABA-DE-CARREGAMENTO'!E44</f>
        <v>0</v>
      </c>
      <c r="J49" s="758">
        <f>ROUND(J47*I49,2)</f>
        <v>0</v>
      </c>
      <c r="K49" s="759"/>
      <c r="L49" s="759"/>
    </row>
    <row r="50" spans="1:12" ht="30.75" customHeight="1">
      <c r="A50" s="716"/>
      <c r="B50" s="696" t="s">
        <v>318</v>
      </c>
      <c r="C50" s="1577" t="s">
        <v>695</v>
      </c>
      <c r="D50" s="1477"/>
      <c r="E50" s="1477"/>
      <c r="F50" s="1477"/>
      <c r="G50" s="1720" t="str">
        <f>'1-ABA-DE-CARREGAMENTO'!E40</f>
        <v>INSALUB S/NORMATIVO</v>
      </c>
      <c r="H50" s="1623"/>
      <c r="I50" s="762">
        <f>'1-ABA-DE-CARREGAMENTO'!E41</f>
        <v>0.2</v>
      </c>
      <c r="J50" s="758">
        <f>ROUND(I50*I29,2)</f>
        <v>438.2</v>
      </c>
      <c r="K50" s="759"/>
      <c r="L50" s="759"/>
    </row>
    <row r="51" spans="1:12" ht="30.75" hidden="1" customHeight="1" outlineLevel="1">
      <c r="A51" s="716"/>
      <c r="B51" s="696" t="s">
        <v>360</v>
      </c>
      <c r="C51" s="1573" t="s">
        <v>696</v>
      </c>
      <c r="D51" s="1477"/>
      <c r="E51" s="1478"/>
      <c r="F51" s="763" t="s">
        <v>362</v>
      </c>
      <c r="G51" s="764">
        <v>0</v>
      </c>
      <c r="H51" s="763" t="s">
        <v>363</v>
      </c>
      <c r="I51" s="765">
        <f>I36</f>
        <v>15.767999999999997</v>
      </c>
      <c r="J51" s="766">
        <f>G51*I51</f>
        <v>0</v>
      </c>
      <c r="K51" s="759"/>
      <c r="L51" s="759"/>
    </row>
    <row r="52" spans="1:12" ht="38.25" hidden="1" customHeight="1" outlineLevel="1">
      <c r="A52" s="716"/>
      <c r="B52" s="696" t="s">
        <v>364</v>
      </c>
      <c r="C52" s="1656" t="s">
        <v>697</v>
      </c>
      <c r="D52" s="1477"/>
      <c r="E52" s="1477"/>
      <c r="F52" s="1477"/>
      <c r="G52" s="1477"/>
      <c r="H52" s="1477"/>
      <c r="I52" s="1478"/>
      <c r="J52" s="758">
        <f>ROUND(I38*(((12*15)+15)-((44/6)*26))*I35,2)*0+ROUND(2*4.33*I35,2)*0</f>
        <v>0</v>
      </c>
      <c r="K52" s="759"/>
      <c r="L52" s="759"/>
    </row>
    <row r="53" spans="1:12" ht="38.25" hidden="1" customHeight="1" outlineLevel="1">
      <c r="A53" s="716"/>
      <c r="B53" s="696" t="s">
        <v>366</v>
      </c>
      <c r="C53" s="1656" t="s">
        <v>698</v>
      </c>
      <c r="D53" s="1477"/>
      <c r="E53" s="1477"/>
      <c r="F53" s="1477"/>
      <c r="G53" s="1477"/>
      <c r="H53" s="1477"/>
      <c r="I53" s="1478"/>
      <c r="J53" s="758">
        <f>ROUND(I39*I40*15,2)*0</f>
        <v>0</v>
      </c>
      <c r="K53" s="759"/>
      <c r="L53" s="759"/>
    </row>
    <row r="54" spans="1:12" ht="27" hidden="1" customHeight="1" outlineLevel="1">
      <c r="A54" s="716"/>
      <c r="B54" s="696" t="s">
        <v>368</v>
      </c>
      <c r="C54" s="1574" t="s">
        <v>699</v>
      </c>
      <c r="D54" s="1575"/>
      <c r="E54" s="1575"/>
      <c r="F54" s="763" t="s">
        <v>370</v>
      </c>
      <c r="G54" s="764">
        <v>0</v>
      </c>
      <c r="H54" s="763" t="s">
        <v>371</v>
      </c>
      <c r="I54" s="765">
        <f>I35</f>
        <v>19.709999999999997</v>
      </c>
      <c r="J54" s="766">
        <f t="shared" ref="J54:J55" si="1">G54*I54</f>
        <v>0</v>
      </c>
      <c r="K54" s="759"/>
      <c r="L54" s="759"/>
    </row>
    <row r="55" spans="1:12" ht="27" hidden="1" customHeight="1" outlineLevel="1">
      <c r="A55" s="716"/>
      <c r="B55" s="696" t="s">
        <v>372</v>
      </c>
      <c r="C55" s="1576" t="s">
        <v>700</v>
      </c>
      <c r="D55" s="1419"/>
      <c r="E55" s="1419"/>
      <c r="F55" s="763" t="s">
        <v>374</v>
      </c>
      <c r="G55" s="764">
        <v>0</v>
      </c>
      <c r="H55" s="763" t="s">
        <v>375</v>
      </c>
      <c r="I55" s="765">
        <f>I37</f>
        <v>26.279999999999998</v>
      </c>
      <c r="J55" s="767">
        <f t="shared" si="1"/>
        <v>0</v>
      </c>
      <c r="K55" s="759"/>
      <c r="L55" s="759"/>
    </row>
    <row r="56" spans="1:12" ht="40.5" customHeight="1" collapsed="1">
      <c r="A56" s="716"/>
      <c r="B56" s="696" t="s">
        <v>376</v>
      </c>
      <c r="C56" s="1577" t="s">
        <v>701</v>
      </c>
      <c r="D56" s="1477"/>
      <c r="E56" s="1477"/>
      <c r="F56" s="1477"/>
      <c r="G56" s="1477"/>
      <c r="H56" s="1477"/>
      <c r="I56" s="1478"/>
      <c r="J56" s="758">
        <f>ROUND(((J54+J55)/25)*5,2)</f>
        <v>0</v>
      </c>
      <c r="K56" s="759"/>
      <c r="L56" s="759"/>
    </row>
    <row r="57" spans="1:12" ht="33" customHeight="1">
      <c r="A57" s="716"/>
      <c r="B57" s="696" t="s">
        <v>379</v>
      </c>
      <c r="C57" s="1577" t="s">
        <v>380</v>
      </c>
      <c r="D57" s="1477"/>
      <c r="E57" s="1477"/>
      <c r="F57" s="1477"/>
      <c r="G57" s="1477"/>
      <c r="H57" s="1477"/>
      <c r="I57" s="1478"/>
      <c r="J57" s="769" t="s">
        <v>325</v>
      </c>
      <c r="K57" s="770"/>
      <c r="L57" s="770"/>
    </row>
    <row r="58" spans="1:12" ht="33.75" customHeight="1">
      <c r="A58" s="716"/>
      <c r="B58" s="1572" t="s">
        <v>381</v>
      </c>
      <c r="C58" s="1477"/>
      <c r="D58" s="1477"/>
      <c r="E58" s="1477"/>
      <c r="F58" s="1477"/>
      <c r="G58" s="1477"/>
      <c r="H58" s="1477"/>
      <c r="I58" s="1478"/>
      <c r="J58" s="771">
        <f>SUM(J47:J57)</f>
        <v>2629.18</v>
      </c>
      <c r="K58" s="772"/>
      <c r="L58" s="772"/>
    </row>
    <row r="59" spans="1:12" ht="6" customHeight="1">
      <c r="A59" s="716"/>
      <c r="B59" s="773"/>
      <c r="C59" s="1657"/>
      <c r="D59" s="1477"/>
      <c r="E59" s="1477"/>
      <c r="F59" s="1477"/>
      <c r="G59" s="1477"/>
      <c r="H59" s="1477"/>
      <c r="I59" s="1478"/>
      <c r="J59" s="774"/>
      <c r="K59" s="772"/>
      <c r="L59" s="772"/>
    </row>
    <row r="60" spans="1:12" ht="69.75" customHeight="1">
      <c r="A60" s="716"/>
      <c r="B60" s="696" t="s">
        <v>368</v>
      </c>
      <c r="C60" s="1577" t="s">
        <v>702</v>
      </c>
      <c r="D60" s="1477"/>
      <c r="E60" s="1477"/>
      <c r="F60" s="1477"/>
      <c r="G60" s="1477"/>
      <c r="H60" s="1477"/>
      <c r="I60" s="1478"/>
      <c r="J60" s="1028">
        <f>ROUND(I34*22*I40*0.5,2)*0</f>
        <v>0</v>
      </c>
      <c r="K60" s="1029"/>
      <c r="L60" s="1029"/>
    </row>
    <row r="61" spans="1:12" ht="36" customHeight="1">
      <c r="A61" s="716"/>
      <c r="B61" s="1572" t="s">
        <v>703</v>
      </c>
      <c r="C61" s="1477"/>
      <c r="D61" s="1477"/>
      <c r="E61" s="1477"/>
      <c r="F61" s="1477"/>
      <c r="G61" s="1477"/>
      <c r="H61" s="1477"/>
      <c r="I61" s="1478"/>
      <c r="J61" s="771">
        <f>J60</f>
        <v>0</v>
      </c>
      <c r="K61" s="772"/>
      <c r="L61" s="772"/>
    </row>
    <row r="62" spans="1:12" ht="6" customHeight="1">
      <c r="A62" s="716"/>
      <c r="B62" s="1616"/>
      <c r="C62" s="1477"/>
      <c r="D62" s="1477"/>
      <c r="E62" s="1477"/>
      <c r="F62" s="1477"/>
      <c r="G62" s="1477"/>
      <c r="H62" s="1477"/>
      <c r="I62" s="1477"/>
      <c r="J62" s="1478"/>
      <c r="K62" s="697"/>
      <c r="L62" s="697"/>
    </row>
    <row r="63" spans="1:12" ht="48" customHeight="1">
      <c r="A63" s="716"/>
      <c r="B63" s="1578" t="s">
        <v>704</v>
      </c>
      <c r="C63" s="1477"/>
      <c r="D63" s="1477"/>
      <c r="E63" s="1477"/>
      <c r="F63" s="1477"/>
      <c r="G63" s="1477"/>
      <c r="H63" s="1477"/>
      <c r="I63" s="1478"/>
      <c r="J63" s="775">
        <f>J58+J61</f>
        <v>2629.18</v>
      </c>
      <c r="K63" s="776"/>
      <c r="L63" s="776"/>
    </row>
    <row r="64" spans="1:12" ht="6" customHeight="1">
      <c r="A64" s="716"/>
      <c r="B64" s="1657"/>
      <c r="C64" s="1477"/>
      <c r="D64" s="1477"/>
      <c r="E64" s="1477"/>
      <c r="F64" s="1477"/>
      <c r="G64" s="1477"/>
      <c r="H64" s="1477"/>
      <c r="I64" s="1477"/>
      <c r="J64" s="1478"/>
      <c r="K64" s="777"/>
      <c r="L64" s="777"/>
    </row>
    <row r="65" spans="1:12" ht="16.5" customHeight="1">
      <c r="A65" s="716"/>
      <c r="B65" s="1658" t="s">
        <v>385</v>
      </c>
      <c r="C65" s="1477"/>
      <c r="D65" s="1477"/>
      <c r="E65" s="1477"/>
      <c r="F65" s="1477"/>
      <c r="G65" s="1477"/>
      <c r="H65" s="1477"/>
      <c r="I65" s="1477"/>
      <c r="J65" s="1478"/>
      <c r="K65" s="778"/>
      <c r="L65" s="778"/>
    </row>
    <row r="66" spans="1:12" ht="6" customHeight="1">
      <c r="A66" s="716"/>
      <c r="B66" s="1657"/>
      <c r="C66" s="1477"/>
      <c r="D66" s="1477"/>
      <c r="E66" s="1477"/>
      <c r="F66" s="1477"/>
      <c r="G66" s="1477"/>
      <c r="H66" s="1477"/>
      <c r="I66" s="1477"/>
      <c r="J66" s="1478"/>
      <c r="K66" s="777"/>
      <c r="L66" s="777"/>
    </row>
    <row r="67" spans="1:12" ht="33" customHeight="1">
      <c r="A67" s="716"/>
      <c r="B67" s="1579" t="s">
        <v>386</v>
      </c>
      <c r="C67" s="1477"/>
      <c r="D67" s="1477"/>
      <c r="E67" s="1477"/>
      <c r="F67" s="1477"/>
      <c r="G67" s="1477"/>
      <c r="H67" s="1477"/>
      <c r="I67" s="1477"/>
      <c r="J67" s="1478"/>
      <c r="K67" s="779"/>
      <c r="L67" s="779"/>
    </row>
    <row r="68" spans="1:12" ht="18" customHeight="1">
      <c r="A68" s="716"/>
      <c r="B68" s="1580" t="s">
        <v>705</v>
      </c>
      <c r="C68" s="1477"/>
      <c r="D68" s="1477"/>
      <c r="E68" s="1477"/>
      <c r="F68" s="1477"/>
      <c r="G68" s="1477"/>
      <c r="H68" s="1477"/>
      <c r="I68" s="1477"/>
      <c r="J68" s="1478"/>
      <c r="K68" s="780"/>
      <c r="L68" s="780"/>
    </row>
    <row r="69" spans="1:12" ht="21.75" customHeight="1">
      <c r="A69" s="716"/>
      <c r="B69" s="781" t="s">
        <v>388</v>
      </c>
      <c r="C69" s="1659" t="s">
        <v>706</v>
      </c>
      <c r="D69" s="1477"/>
      <c r="E69" s="1477"/>
      <c r="F69" s="1477"/>
      <c r="G69" s="1477"/>
      <c r="H69" s="1477"/>
      <c r="I69" s="1478"/>
      <c r="J69" s="996" t="s">
        <v>390</v>
      </c>
      <c r="K69" s="783"/>
      <c r="L69" s="783"/>
    </row>
    <row r="70" spans="1:12" ht="31.5" customHeight="1">
      <c r="A70" s="716"/>
      <c r="B70" s="781" t="s">
        <v>312</v>
      </c>
      <c r="C70" s="1656" t="s">
        <v>707</v>
      </c>
      <c r="D70" s="1477"/>
      <c r="E70" s="1477"/>
      <c r="F70" s="1477"/>
      <c r="G70" s="1477"/>
      <c r="H70" s="1478"/>
      <c r="I70" s="784">
        <v>8.3299999999999999E-2</v>
      </c>
      <c r="J70" s="824">
        <f>ROUND(J58*I70,2)</f>
        <v>219.01</v>
      </c>
      <c r="K70" s="786"/>
      <c r="L70" s="786"/>
    </row>
    <row r="71" spans="1:12" ht="68.25" customHeight="1">
      <c r="A71" s="716"/>
      <c r="B71" s="781" t="s">
        <v>314</v>
      </c>
      <c r="C71" s="1582" t="s">
        <v>708</v>
      </c>
      <c r="D71" s="1477"/>
      <c r="E71" s="1477"/>
      <c r="F71" s="1477"/>
      <c r="G71" s="1477"/>
      <c r="H71" s="1478"/>
      <c r="I71" s="787">
        <v>3.0249999999999999E-2</v>
      </c>
      <c r="J71" s="824">
        <f>ROUND(J58*I71,2)</f>
        <v>79.53</v>
      </c>
      <c r="K71" s="786"/>
      <c r="L71" s="786"/>
    </row>
    <row r="72" spans="1:12" ht="11.25" customHeight="1">
      <c r="A72" s="716"/>
      <c r="B72" s="1660" t="s">
        <v>393</v>
      </c>
      <c r="C72" s="1477"/>
      <c r="D72" s="1477"/>
      <c r="E72" s="1477"/>
      <c r="F72" s="1477"/>
      <c r="G72" s="1477"/>
      <c r="H72" s="1477"/>
      <c r="I72" s="1478"/>
      <c r="J72" s="788">
        <f>SUM(J70+J71)</f>
        <v>298.53999999999996</v>
      </c>
      <c r="K72" s="789"/>
      <c r="L72" s="789"/>
    </row>
    <row r="73" spans="1:12" ht="6.75" customHeight="1">
      <c r="A73" s="716"/>
      <c r="B73" s="1661"/>
      <c r="C73" s="1477"/>
      <c r="D73" s="1477"/>
      <c r="E73" s="1477"/>
      <c r="F73" s="1477"/>
      <c r="G73" s="1477"/>
      <c r="H73" s="1477"/>
      <c r="I73" s="1477"/>
      <c r="J73" s="1478"/>
      <c r="K73" s="790"/>
      <c r="L73" s="790"/>
    </row>
    <row r="74" spans="1:12" ht="12.75" customHeight="1">
      <c r="A74" s="716"/>
      <c r="B74" s="1653" t="s">
        <v>709</v>
      </c>
      <c r="C74" s="1477"/>
      <c r="D74" s="1477"/>
      <c r="E74" s="1477"/>
      <c r="F74" s="1477"/>
      <c r="G74" s="1477"/>
      <c r="H74" s="1477"/>
      <c r="I74" s="1477"/>
      <c r="J74" s="1478"/>
      <c r="K74" s="750"/>
      <c r="L74" s="750"/>
    </row>
    <row r="75" spans="1:12" ht="6.75" customHeight="1">
      <c r="A75" s="716"/>
      <c r="B75" s="1662"/>
      <c r="C75" s="1477"/>
      <c r="D75" s="1477"/>
      <c r="E75" s="1477"/>
      <c r="F75" s="1477"/>
      <c r="G75" s="1477"/>
      <c r="H75" s="1477"/>
      <c r="I75" s="1477"/>
      <c r="J75" s="1478"/>
      <c r="K75" s="750"/>
      <c r="L75" s="750"/>
    </row>
    <row r="76" spans="1:12" ht="28.5" customHeight="1">
      <c r="A76" s="716"/>
      <c r="B76" s="1663" t="s">
        <v>710</v>
      </c>
      <c r="C76" s="1477"/>
      <c r="D76" s="1477"/>
      <c r="E76" s="1477"/>
      <c r="F76" s="1477"/>
      <c r="G76" s="1477"/>
      <c r="H76" s="1477"/>
      <c r="I76" s="1477"/>
      <c r="J76" s="1478"/>
      <c r="K76" s="780"/>
      <c r="L76" s="780"/>
    </row>
    <row r="77" spans="1:12" ht="24" customHeight="1">
      <c r="A77" s="716"/>
      <c r="B77" s="791" t="s">
        <v>396</v>
      </c>
      <c r="C77" s="1664" t="s">
        <v>397</v>
      </c>
      <c r="D77" s="1477"/>
      <c r="E77" s="1477"/>
      <c r="F77" s="1477"/>
      <c r="G77" s="1477"/>
      <c r="H77" s="1478"/>
      <c r="I77" s="792" t="s">
        <v>354</v>
      </c>
      <c r="J77" s="997" t="s">
        <v>398</v>
      </c>
      <c r="K77" s="783"/>
      <c r="L77" s="783"/>
    </row>
    <row r="78" spans="1:12" ht="15.75" customHeight="1">
      <c r="A78" s="716"/>
      <c r="B78" s="794" t="s">
        <v>312</v>
      </c>
      <c r="C78" s="1577" t="s">
        <v>399</v>
      </c>
      <c r="D78" s="1477"/>
      <c r="E78" s="1477"/>
      <c r="F78" s="1477"/>
      <c r="G78" s="1477"/>
      <c r="H78" s="1478"/>
      <c r="I78" s="795">
        <v>0.2</v>
      </c>
      <c r="J78" s="796">
        <f>ROUND((J58+J72)*I78,2)</f>
        <v>585.54</v>
      </c>
      <c r="K78" s="789"/>
      <c r="L78" s="789"/>
    </row>
    <row r="79" spans="1:12" ht="15.75" customHeight="1">
      <c r="A79" s="716"/>
      <c r="B79" s="794" t="s">
        <v>314</v>
      </c>
      <c r="C79" s="1577" t="s">
        <v>400</v>
      </c>
      <c r="D79" s="1477"/>
      <c r="E79" s="1477"/>
      <c r="F79" s="1477"/>
      <c r="G79" s="1477"/>
      <c r="H79" s="1478"/>
      <c r="I79" s="795">
        <v>2.5000000000000001E-2</v>
      </c>
      <c r="J79" s="796">
        <f>ROUND((J58+J72)*I79,2)</f>
        <v>73.19</v>
      </c>
      <c r="K79" s="789"/>
      <c r="L79" s="789"/>
    </row>
    <row r="80" spans="1:12" ht="48.75" customHeight="1">
      <c r="A80" s="716"/>
      <c r="B80" s="794" t="s">
        <v>316</v>
      </c>
      <c r="C80" s="1577" t="s">
        <v>711</v>
      </c>
      <c r="D80" s="1478"/>
      <c r="E80" s="735" t="s">
        <v>402</v>
      </c>
      <c r="F80" s="797">
        <f>'1-ABA-DE-CARREGAMENTO'!E57</f>
        <v>0.03</v>
      </c>
      <c r="G80" s="735" t="s">
        <v>403</v>
      </c>
      <c r="H80" s="798">
        <f>'1-ABA-DE-CARREGAMENTO'!E58</f>
        <v>1</v>
      </c>
      <c r="I80" s="799">
        <f>ROUND((F80*H80),6)</f>
        <v>0.03</v>
      </c>
      <c r="J80" s="796">
        <f>ROUND((J58+J72)*I80,2)</f>
        <v>87.83</v>
      </c>
      <c r="K80" s="789"/>
      <c r="L80" s="789"/>
    </row>
    <row r="81" spans="1:12" ht="18.75" customHeight="1">
      <c r="A81" s="716"/>
      <c r="B81" s="794" t="s">
        <v>318</v>
      </c>
      <c r="C81" s="1577" t="s">
        <v>404</v>
      </c>
      <c r="D81" s="1477"/>
      <c r="E81" s="1477"/>
      <c r="F81" s="1477"/>
      <c r="G81" s="1477"/>
      <c r="H81" s="1478"/>
      <c r="I81" s="795">
        <v>1.4999999999999999E-2</v>
      </c>
      <c r="J81" s="796">
        <f>ROUND((J58+J72)*I81,2)</f>
        <v>43.92</v>
      </c>
      <c r="K81" s="789"/>
      <c r="L81" s="789"/>
    </row>
    <row r="82" spans="1:12" ht="18.75" customHeight="1">
      <c r="A82" s="716"/>
      <c r="B82" s="794" t="s">
        <v>360</v>
      </c>
      <c r="C82" s="1577" t="s">
        <v>405</v>
      </c>
      <c r="D82" s="1477"/>
      <c r="E82" s="1477"/>
      <c r="F82" s="1477"/>
      <c r="G82" s="1477"/>
      <c r="H82" s="1478"/>
      <c r="I82" s="795">
        <v>0.01</v>
      </c>
      <c r="J82" s="796">
        <f>ROUND((J58+J72)*I82,2)</f>
        <v>29.28</v>
      </c>
      <c r="K82" s="789"/>
      <c r="L82" s="789"/>
    </row>
    <row r="83" spans="1:12" ht="18.75" customHeight="1">
      <c r="A83" s="716"/>
      <c r="B83" s="794" t="s">
        <v>364</v>
      </c>
      <c r="C83" s="1577" t="s">
        <v>406</v>
      </c>
      <c r="D83" s="1477"/>
      <c r="E83" s="1477"/>
      <c r="F83" s="1477"/>
      <c r="G83" s="1477"/>
      <c r="H83" s="1478"/>
      <c r="I83" s="795">
        <v>6.0000000000000001E-3</v>
      </c>
      <c r="J83" s="796">
        <f>ROUND((J58+J72)*I83,2)</f>
        <v>17.57</v>
      </c>
      <c r="K83" s="789"/>
      <c r="L83" s="789"/>
    </row>
    <row r="84" spans="1:12" ht="18.75" customHeight="1">
      <c r="A84" s="716"/>
      <c r="B84" s="794" t="s">
        <v>366</v>
      </c>
      <c r="C84" s="1577" t="s">
        <v>407</v>
      </c>
      <c r="D84" s="1477"/>
      <c r="E84" s="1477"/>
      <c r="F84" s="1477"/>
      <c r="G84" s="1477"/>
      <c r="H84" s="1478"/>
      <c r="I84" s="795">
        <v>2E-3</v>
      </c>
      <c r="J84" s="796">
        <f>ROUND((J58+J72)*I84,2)</f>
        <v>5.86</v>
      </c>
      <c r="K84" s="789"/>
      <c r="L84" s="789"/>
    </row>
    <row r="85" spans="1:12" ht="18.75" customHeight="1">
      <c r="A85" s="716"/>
      <c r="B85" s="794" t="s">
        <v>368</v>
      </c>
      <c r="C85" s="1577" t="s">
        <v>408</v>
      </c>
      <c r="D85" s="1477"/>
      <c r="E85" s="1477"/>
      <c r="F85" s="1477"/>
      <c r="G85" s="1477"/>
      <c r="H85" s="1478"/>
      <c r="I85" s="795">
        <v>0.08</v>
      </c>
      <c r="J85" s="796">
        <f>ROUND((J58+J72)*I85,2)</f>
        <v>234.22</v>
      </c>
      <c r="K85" s="789"/>
      <c r="L85" s="789"/>
    </row>
    <row r="86" spans="1:12" ht="11.25" customHeight="1">
      <c r="A86" s="716"/>
      <c r="B86" s="1585" t="s">
        <v>393</v>
      </c>
      <c r="C86" s="1477"/>
      <c r="D86" s="1477"/>
      <c r="E86" s="1477"/>
      <c r="F86" s="1477"/>
      <c r="G86" s="1477"/>
      <c r="H86" s="1478"/>
      <c r="I86" s="800">
        <f t="shared" ref="I86:J86" si="2">SUM(I78:I85)</f>
        <v>0.36800000000000005</v>
      </c>
      <c r="J86" s="788">
        <f t="shared" si="2"/>
        <v>1077.4100000000001</v>
      </c>
      <c r="K86" s="789"/>
      <c r="L86" s="789"/>
    </row>
    <row r="87" spans="1:12" ht="6.75" customHeight="1">
      <c r="A87" s="716"/>
      <c r="B87" s="801"/>
      <c r="C87" s="802"/>
      <c r="D87" s="802"/>
      <c r="E87" s="802"/>
      <c r="F87" s="802"/>
      <c r="G87" s="802"/>
      <c r="H87" s="802"/>
      <c r="I87" s="803"/>
      <c r="J87" s="804"/>
      <c r="K87" s="789"/>
      <c r="L87" s="789"/>
    </row>
    <row r="88" spans="1:12" ht="23.25" customHeight="1">
      <c r="A88" s="716"/>
      <c r="B88" s="1653" t="s">
        <v>409</v>
      </c>
      <c r="C88" s="1477"/>
      <c r="D88" s="1477"/>
      <c r="E88" s="1477"/>
      <c r="F88" s="1477"/>
      <c r="G88" s="1477"/>
      <c r="H88" s="1477"/>
      <c r="I88" s="1477"/>
      <c r="J88" s="1478"/>
      <c r="K88" s="750"/>
      <c r="L88" s="750"/>
    </row>
    <row r="89" spans="1:12" ht="7.5" customHeight="1">
      <c r="A89" s="716"/>
      <c r="B89" s="1618"/>
      <c r="C89" s="1477"/>
      <c r="D89" s="1477"/>
      <c r="E89" s="1477"/>
      <c r="F89" s="1477"/>
      <c r="G89" s="1477"/>
      <c r="H89" s="1477"/>
      <c r="I89" s="1477"/>
      <c r="J89" s="1478"/>
      <c r="K89" s="697"/>
      <c r="L89" s="697"/>
    </row>
    <row r="90" spans="1:12" ht="19.5" customHeight="1">
      <c r="A90" s="716"/>
      <c r="B90" s="1602" t="s">
        <v>410</v>
      </c>
      <c r="C90" s="1477"/>
      <c r="D90" s="1477"/>
      <c r="E90" s="1477"/>
      <c r="F90" s="1477"/>
      <c r="G90" s="1477"/>
      <c r="H90" s="1477"/>
      <c r="I90" s="1477"/>
      <c r="J90" s="1478"/>
      <c r="K90" s="780"/>
      <c r="L90" s="780"/>
    </row>
    <row r="91" spans="1:12" ht="21" customHeight="1">
      <c r="A91" s="716"/>
      <c r="B91" s="805" t="s">
        <v>411</v>
      </c>
      <c r="C91" s="1603" t="s">
        <v>412</v>
      </c>
      <c r="D91" s="1477"/>
      <c r="E91" s="1477"/>
      <c r="F91" s="1477"/>
      <c r="G91" s="1477"/>
      <c r="H91" s="1477"/>
      <c r="I91" s="1478"/>
      <c r="J91" s="864" t="s">
        <v>390</v>
      </c>
      <c r="K91" s="727"/>
      <c r="L91" s="727"/>
    </row>
    <row r="92" spans="1:12" ht="20.25" customHeight="1">
      <c r="A92" s="716"/>
      <c r="B92" s="743" t="s">
        <v>312</v>
      </c>
      <c r="C92" s="1577" t="e">
        <f ca="1">IF(F95="o transporte é seletivo", "AUXILIO TRANSPORTE Cálculo do valor: [(n passag dia × vlr passagem × n dias mês ) – (0,06xSB)]", "Transporte Cálculo do valor: [(n passag dia × vlr VT × n dias mês ) – (0,06xSB)]")</f>
        <v>#NAME?</v>
      </c>
      <c r="D92" s="1477"/>
      <c r="E92" s="1477"/>
      <c r="F92" s="1477"/>
      <c r="G92" s="1477"/>
      <c r="H92" s="1478"/>
      <c r="I92" s="807">
        <f>J47</f>
        <v>2190.98</v>
      </c>
      <c r="J92" s="808">
        <f>IF(ROUND((I93*I95*I94)-(J47*I96),2)&lt;0,0,ROUND((I93*I95*I94)-(J47*I96),2))</f>
        <v>148.16</v>
      </c>
      <c r="K92" s="789"/>
      <c r="L92" s="789"/>
    </row>
    <row r="93" spans="1:12" ht="14.5">
      <c r="A93" s="716"/>
      <c r="B93" s="743" t="s">
        <v>314</v>
      </c>
      <c r="C93" s="1577" t="s">
        <v>712</v>
      </c>
      <c r="D93" s="1477"/>
      <c r="E93" s="1477"/>
      <c r="F93" s="1477"/>
      <c r="G93" s="1477"/>
      <c r="H93" s="1477"/>
      <c r="I93" s="809">
        <f>'1-ABA-DE-CARREGAMENTO'!E72</f>
        <v>6.82</v>
      </c>
      <c r="J93" s="810" t="s">
        <v>325</v>
      </c>
      <c r="K93" s="770"/>
      <c r="L93" s="770"/>
    </row>
    <row r="94" spans="1:12" ht="20.25" customHeight="1">
      <c r="A94" s="716"/>
      <c r="B94" s="743" t="s">
        <v>316</v>
      </c>
      <c r="C94" s="1577" t="s">
        <v>713</v>
      </c>
      <c r="D94" s="1477"/>
      <c r="E94" s="1477"/>
      <c r="F94" s="1477"/>
      <c r="G94" s="1477"/>
      <c r="H94" s="1478"/>
      <c r="I94" s="811">
        <f>'1-ABA-DE-CARREGAMENTO'!E73</f>
        <v>2</v>
      </c>
      <c r="J94" s="810" t="s">
        <v>325</v>
      </c>
      <c r="K94" s="770"/>
      <c r="L94" s="770"/>
    </row>
    <row r="95" spans="1:12" ht="20.25" customHeight="1">
      <c r="A95" s="716"/>
      <c r="B95" s="743" t="s">
        <v>318</v>
      </c>
      <c r="C95" s="1665" t="s">
        <v>415</v>
      </c>
      <c r="D95" s="1477"/>
      <c r="E95" s="1477"/>
      <c r="F95" s="1666" t="e">
        <f ca="1">getNota('1-ABA-DE-CARREGAMENTO'!C14)</f>
        <v>#NAME?</v>
      </c>
      <c r="G95" s="1477"/>
      <c r="H95" s="812">
        <f>I93*I94*I95</f>
        <v>279.62</v>
      </c>
      <c r="I95" s="813">
        <f>'1-ABA-DE-CARREGAMENTO'!E74</f>
        <v>20.5</v>
      </c>
      <c r="J95" s="810" t="s">
        <v>325</v>
      </c>
      <c r="K95" s="770"/>
      <c r="L95" s="770"/>
    </row>
    <row r="96" spans="1:12" ht="20.25" customHeight="1">
      <c r="A96" s="716"/>
      <c r="B96" s="743" t="s">
        <v>360</v>
      </c>
      <c r="C96" s="1665" t="s">
        <v>714</v>
      </c>
      <c r="D96" s="1477"/>
      <c r="E96" s="1477"/>
      <c r="F96" s="1477"/>
      <c r="G96" s="1477"/>
      <c r="H96" s="812">
        <f>I96*J47</f>
        <v>131.4588</v>
      </c>
      <c r="I96" s="814">
        <f>'1-ABA-DE-CARREGAMENTO'!E75</f>
        <v>0.06</v>
      </c>
      <c r="J96" s="815" t="s">
        <v>325</v>
      </c>
      <c r="K96" s="770"/>
      <c r="L96" s="770"/>
    </row>
    <row r="97" spans="1:12" ht="20.25" customHeight="1">
      <c r="A97" s="716"/>
      <c r="B97" s="743" t="s">
        <v>364</v>
      </c>
      <c r="C97" s="1577" t="s">
        <v>715</v>
      </c>
      <c r="D97" s="1477"/>
      <c r="E97" s="1477"/>
      <c r="F97" s="1477"/>
      <c r="G97" s="1477"/>
      <c r="H97" s="1477"/>
      <c r="I97" s="1477"/>
      <c r="J97" s="808">
        <f>ROUND(I98*I99,2)-ROUND((I98*I99)*I100,2)</f>
        <v>311.11</v>
      </c>
      <c r="K97" s="789"/>
      <c r="L97" s="789"/>
    </row>
    <row r="98" spans="1:12" ht="20.25" customHeight="1">
      <c r="A98" s="716"/>
      <c r="B98" s="743" t="s">
        <v>366</v>
      </c>
      <c r="C98" s="1577" t="s">
        <v>716</v>
      </c>
      <c r="D98" s="1477"/>
      <c r="E98" s="1477"/>
      <c r="F98" s="1477"/>
      <c r="G98" s="1477"/>
      <c r="H98" s="1477"/>
      <c r="I98" s="816">
        <f>IF('1-ABA-DE-CARREGAMENTO'!E60&gt;0,'1-ABA-DE-CARREGAMENTO'!E60,'1-ABA-DE-CARREGAMENTO'!E63)</f>
        <v>18.97</v>
      </c>
      <c r="J98" s="817"/>
      <c r="K98" s="770"/>
      <c r="L98" s="770"/>
    </row>
    <row r="99" spans="1:12" ht="20.25" customHeight="1">
      <c r="A99" s="716"/>
      <c r="B99" s="743" t="s">
        <v>368</v>
      </c>
      <c r="C99" s="1665" t="s">
        <v>717</v>
      </c>
      <c r="D99" s="1477"/>
      <c r="E99" s="1477"/>
      <c r="F99" s="1477"/>
      <c r="G99" s="1477"/>
      <c r="H99" s="812">
        <f>I98*I99</f>
        <v>388.88499999999999</v>
      </c>
      <c r="I99" s="818">
        <f>'1-ABA-DE-CARREGAMENTO'!E62</f>
        <v>20.5</v>
      </c>
      <c r="J99" s="817"/>
      <c r="K99" s="770"/>
      <c r="L99" s="770"/>
    </row>
    <row r="100" spans="1:12" ht="20.25" customHeight="1">
      <c r="A100" s="716"/>
      <c r="B100" s="794" t="s">
        <v>372</v>
      </c>
      <c r="C100" s="1665" t="s">
        <v>718</v>
      </c>
      <c r="D100" s="1477"/>
      <c r="E100" s="1477"/>
      <c r="F100" s="1477"/>
      <c r="G100" s="1477"/>
      <c r="H100" s="812">
        <f>(I98*I99)*I100</f>
        <v>77.777000000000001</v>
      </c>
      <c r="I100" s="814">
        <f>'1-ABA-DE-CARREGAMENTO'!E61</f>
        <v>0.2</v>
      </c>
      <c r="J100" s="819"/>
      <c r="K100" s="770"/>
      <c r="L100" s="770"/>
    </row>
    <row r="101" spans="1:12" ht="20.25" customHeight="1">
      <c r="A101" s="716"/>
      <c r="B101" s="743" t="s">
        <v>376</v>
      </c>
      <c r="C101" s="1628" t="s">
        <v>421</v>
      </c>
      <c r="D101" s="1575"/>
      <c r="E101" s="1575"/>
      <c r="F101" s="1575"/>
      <c r="G101" s="1575"/>
      <c r="H101" s="1575"/>
      <c r="I101" s="1575"/>
      <c r="J101" s="820">
        <f>'1-ABA-DE-CARREGAMENTO'!E64</f>
        <v>0</v>
      </c>
      <c r="K101" s="789"/>
      <c r="L101" s="789"/>
    </row>
    <row r="102" spans="1:12" ht="14.5" outlineLevel="1">
      <c r="A102" s="716"/>
      <c r="B102" s="743" t="s">
        <v>379</v>
      </c>
      <c r="C102" s="1577" t="s">
        <v>719</v>
      </c>
      <c r="D102" s="1477"/>
      <c r="E102" s="1477"/>
      <c r="F102" s="1477"/>
      <c r="G102" s="1477"/>
      <c r="H102" s="1477"/>
      <c r="I102" s="1477"/>
      <c r="J102" s="796">
        <f>'1-ABA-DE-CARREGAMENTO'!E77</f>
        <v>0</v>
      </c>
      <c r="K102" s="789"/>
      <c r="L102" s="789"/>
    </row>
    <row r="103" spans="1:12" ht="14.5" outlineLevel="1">
      <c r="A103" s="716"/>
      <c r="B103" s="743" t="s">
        <v>423</v>
      </c>
      <c r="C103" s="1577" t="s">
        <v>720</v>
      </c>
      <c r="D103" s="1477"/>
      <c r="E103" s="1477"/>
      <c r="F103" s="1477"/>
      <c r="G103" s="1477"/>
      <c r="H103" s="1477"/>
      <c r="I103" s="1478"/>
      <c r="J103" s="796">
        <f>'1-ABA-DE-CARREGAMENTO'!E78</f>
        <v>0</v>
      </c>
      <c r="K103" s="789"/>
      <c r="L103" s="789"/>
    </row>
    <row r="104" spans="1:12" ht="20.25" customHeight="1">
      <c r="A104" s="716"/>
      <c r="B104" s="743" t="s">
        <v>425</v>
      </c>
      <c r="C104" s="1577" t="s">
        <v>426</v>
      </c>
      <c r="D104" s="1477"/>
      <c r="E104" s="1477"/>
      <c r="F104" s="1477"/>
      <c r="G104" s="1477"/>
      <c r="H104" s="1477"/>
      <c r="I104" s="1478"/>
      <c r="J104" s="796">
        <f>'1-ABA-DE-CARREGAMENTO'!E76</f>
        <v>0</v>
      </c>
      <c r="K104" s="789"/>
      <c r="L104" s="789"/>
    </row>
    <row r="105" spans="1:12" ht="15.5">
      <c r="A105" s="716"/>
      <c r="B105" s="821" t="s">
        <v>53</v>
      </c>
      <c r="C105" s="1721" t="s">
        <v>427</v>
      </c>
      <c r="D105" s="1477"/>
      <c r="E105" s="1521"/>
      <c r="F105" s="1722" t="s">
        <v>428</v>
      </c>
      <c r="G105" s="1477"/>
      <c r="H105" s="1521"/>
      <c r="I105" s="809">
        <v>526.64</v>
      </c>
      <c r="J105" s="822">
        <f>I105*0.2*I17</f>
        <v>315.98400000000004</v>
      </c>
      <c r="K105" s="789"/>
      <c r="L105" s="789"/>
    </row>
    <row r="106" spans="1:12" ht="27" customHeight="1">
      <c r="A106" s="716"/>
      <c r="B106" s="823"/>
      <c r="C106" s="1585" t="s">
        <v>393</v>
      </c>
      <c r="D106" s="1477"/>
      <c r="E106" s="1477"/>
      <c r="F106" s="1477"/>
      <c r="G106" s="1477"/>
      <c r="H106" s="1477"/>
      <c r="I106" s="1521"/>
      <c r="J106" s="788">
        <f>SUM(J92:J104)</f>
        <v>459.27</v>
      </c>
      <c r="K106" s="789"/>
      <c r="L106" s="789"/>
    </row>
    <row r="107" spans="1:12" ht="7.5" customHeight="1">
      <c r="A107" s="716"/>
      <c r="B107" s="1618"/>
      <c r="C107" s="1477"/>
      <c r="D107" s="1477"/>
      <c r="E107" s="1477"/>
      <c r="F107" s="1477"/>
      <c r="G107" s="1477"/>
      <c r="H107" s="1477"/>
      <c r="I107" s="1477"/>
      <c r="J107" s="1478"/>
      <c r="K107" s="697"/>
      <c r="L107" s="697"/>
    </row>
    <row r="108" spans="1:12" ht="37.5" customHeight="1">
      <c r="A108" s="716"/>
      <c r="B108" s="1653" t="s">
        <v>430</v>
      </c>
      <c r="C108" s="1477"/>
      <c r="D108" s="1477"/>
      <c r="E108" s="1477"/>
      <c r="F108" s="1477"/>
      <c r="G108" s="1477"/>
      <c r="H108" s="1477"/>
      <c r="I108" s="1477"/>
      <c r="J108" s="1478"/>
      <c r="K108" s="750"/>
      <c r="L108" s="750"/>
    </row>
    <row r="109" spans="1:12" ht="7.5" customHeight="1">
      <c r="A109" s="716"/>
      <c r="B109" s="1616"/>
      <c r="C109" s="1477"/>
      <c r="D109" s="1477"/>
      <c r="E109" s="1477"/>
      <c r="F109" s="1477"/>
      <c r="G109" s="1477"/>
      <c r="H109" s="1477"/>
      <c r="I109" s="1477"/>
      <c r="J109" s="1478"/>
      <c r="K109" s="697"/>
      <c r="L109" s="697"/>
    </row>
    <row r="110" spans="1:12" ht="19.5" customHeight="1">
      <c r="A110" s="716"/>
      <c r="B110" s="1670" t="s">
        <v>431</v>
      </c>
      <c r="C110" s="1477"/>
      <c r="D110" s="1477"/>
      <c r="E110" s="1477"/>
      <c r="F110" s="1477"/>
      <c r="G110" s="1477"/>
      <c r="H110" s="1477"/>
      <c r="I110" s="1477"/>
      <c r="J110" s="1478"/>
      <c r="K110" s="779"/>
      <c r="L110" s="779"/>
    </row>
    <row r="111" spans="1:12" ht="15.75" customHeight="1">
      <c r="A111" s="716"/>
      <c r="B111" s="793">
        <v>2</v>
      </c>
      <c r="C111" s="1664" t="s">
        <v>432</v>
      </c>
      <c r="D111" s="1477"/>
      <c r="E111" s="1477"/>
      <c r="F111" s="1477"/>
      <c r="G111" s="1477"/>
      <c r="H111" s="1477"/>
      <c r="I111" s="1478"/>
      <c r="J111" s="997" t="s">
        <v>390</v>
      </c>
      <c r="K111" s="783"/>
      <c r="L111" s="783"/>
    </row>
    <row r="112" spans="1:12" ht="19.5" customHeight="1">
      <c r="A112" s="716"/>
      <c r="B112" s="733" t="s">
        <v>388</v>
      </c>
      <c r="C112" s="1656" t="s">
        <v>721</v>
      </c>
      <c r="D112" s="1477"/>
      <c r="E112" s="1477"/>
      <c r="F112" s="1477"/>
      <c r="G112" s="1477"/>
      <c r="H112" s="1477"/>
      <c r="I112" s="1478"/>
      <c r="J112" s="824">
        <f>J72</f>
        <v>298.53999999999996</v>
      </c>
      <c r="K112" s="825"/>
      <c r="L112" s="825"/>
    </row>
    <row r="113" spans="1:12" ht="19.5" customHeight="1">
      <c r="A113" s="716"/>
      <c r="B113" s="733" t="s">
        <v>396</v>
      </c>
      <c r="C113" s="1656" t="s">
        <v>397</v>
      </c>
      <c r="D113" s="1477"/>
      <c r="E113" s="1477"/>
      <c r="F113" s="1477"/>
      <c r="G113" s="1477"/>
      <c r="H113" s="1477"/>
      <c r="I113" s="1478"/>
      <c r="J113" s="824">
        <f>J86</f>
        <v>1077.4100000000001</v>
      </c>
      <c r="K113" s="825"/>
      <c r="L113" s="825"/>
    </row>
    <row r="114" spans="1:12" ht="19.5" customHeight="1">
      <c r="A114" s="716"/>
      <c r="B114" s="733" t="s">
        <v>411</v>
      </c>
      <c r="C114" s="1656" t="s">
        <v>412</v>
      </c>
      <c r="D114" s="1477"/>
      <c r="E114" s="1477"/>
      <c r="F114" s="1477"/>
      <c r="G114" s="1477"/>
      <c r="H114" s="1477"/>
      <c r="I114" s="1478"/>
      <c r="J114" s="824">
        <f>J106</f>
        <v>459.27</v>
      </c>
      <c r="K114" s="825"/>
      <c r="L114" s="825"/>
    </row>
    <row r="115" spans="1:12" ht="11.25" customHeight="1">
      <c r="A115" s="716"/>
      <c r="B115" s="1669" t="s">
        <v>393</v>
      </c>
      <c r="C115" s="1477"/>
      <c r="D115" s="1477"/>
      <c r="E115" s="1477"/>
      <c r="F115" s="1477"/>
      <c r="G115" s="1477"/>
      <c r="H115" s="1477"/>
      <c r="I115" s="1478"/>
      <c r="J115" s="826">
        <f>SUM(J112+J113+J114)</f>
        <v>1835.22</v>
      </c>
      <c r="K115" s="825"/>
      <c r="L115" s="825"/>
    </row>
    <row r="116" spans="1:12" ht="6" customHeight="1">
      <c r="A116" s="716"/>
      <c r="B116" s="1671"/>
      <c r="C116" s="1477"/>
      <c r="D116" s="1477"/>
      <c r="E116" s="1477"/>
      <c r="F116" s="1477"/>
      <c r="G116" s="1477"/>
      <c r="H116" s="1477"/>
      <c r="I116" s="1477"/>
      <c r="J116" s="1478"/>
      <c r="K116" s="827"/>
      <c r="L116" s="827"/>
    </row>
    <row r="117" spans="1:12" ht="21.75" customHeight="1">
      <c r="A117" s="716"/>
      <c r="B117" s="1559" t="s">
        <v>434</v>
      </c>
      <c r="C117" s="1477"/>
      <c r="D117" s="1477"/>
      <c r="E117" s="1477"/>
      <c r="F117" s="1477"/>
      <c r="G117" s="1477"/>
      <c r="H117" s="1477"/>
      <c r="I117" s="1477"/>
      <c r="J117" s="1478"/>
      <c r="K117" s="828"/>
      <c r="L117" s="828"/>
    </row>
    <row r="118" spans="1:12" ht="17.25" customHeight="1">
      <c r="A118" s="716"/>
      <c r="B118" s="805">
        <v>3</v>
      </c>
      <c r="C118" s="1555" t="s">
        <v>435</v>
      </c>
      <c r="D118" s="1477"/>
      <c r="E118" s="1477"/>
      <c r="F118" s="1477"/>
      <c r="G118" s="1477"/>
      <c r="H118" s="1477"/>
      <c r="I118" s="1478"/>
      <c r="J118" s="1001" t="s">
        <v>390</v>
      </c>
      <c r="K118" s="727"/>
      <c r="L118" s="727"/>
    </row>
    <row r="119" spans="1:12" ht="49.5" customHeight="1">
      <c r="A119" s="716"/>
      <c r="B119" s="743" t="s">
        <v>312</v>
      </c>
      <c r="C119" s="1577" t="s">
        <v>722</v>
      </c>
      <c r="D119" s="1477"/>
      <c r="E119" s="1477"/>
      <c r="F119" s="1477"/>
      <c r="G119" s="1477"/>
      <c r="H119" s="1477"/>
      <c r="I119" s="1478"/>
      <c r="J119" s="796">
        <f>ROUND((($J$58/12)+($J$70/12)+(J58/12/12)+($J$71/12))*(30/30)*0.05,2)</f>
        <v>13.11</v>
      </c>
      <c r="K119" s="789"/>
      <c r="L119" s="789"/>
    </row>
    <row r="120" spans="1:12" ht="16.5" customHeight="1">
      <c r="A120" s="716"/>
      <c r="B120" s="743" t="s">
        <v>314</v>
      </c>
      <c r="C120" s="1589" t="s">
        <v>437</v>
      </c>
      <c r="D120" s="1477"/>
      <c r="E120" s="1477"/>
      <c r="F120" s="1477"/>
      <c r="G120" s="1477"/>
      <c r="H120" s="1477"/>
      <c r="I120" s="1478"/>
      <c r="J120" s="796">
        <f>ROUND($I$85*J119,2)</f>
        <v>1.05</v>
      </c>
      <c r="K120" s="789"/>
      <c r="L120" s="789"/>
    </row>
    <row r="121" spans="1:12" ht="97.5" customHeight="1">
      <c r="A121" s="716"/>
      <c r="B121" s="743" t="s">
        <v>316</v>
      </c>
      <c r="C121" s="1672" t="s">
        <v>723</v>
      </c>
      <c r="D121" s="1477"/>
      <c r="E121" s="1477"/>
      <c r="F121" s="1477"/>
      <c r="G121" s="1477"/>
      <c r="H121" s="1477"/>
      <c r="I121" s="830" t="str">
        <f>IF(J121&lt;J58*1.94%,"OK","VERIFIQUE")</f>
        <v>OK</v>
      </c>
      <c r="J121" s="796">
        <f>ROUND(((7/30)/$I$11)*$J$58*1,2)</f>
        <v>20.45</v>
      </c>
      <c r="K121" s="789"/>
      <c r="L121" s="789"/>
    </row>
    <row r="122" spans="1:12" ht="24.75" customHeight="1">
      <c r="A122" s="716"/>
      <c r="B122" s="743" t="s">
        <v>318</v>
      </c>
      <c r="C122" s="1589" t="s">
        <v>439</v>
      </c>
      <c r="D122" s="1477"/>
      <c r="E122" s="1477"/>
      <c r="F122" s="1477"/>
      <c r="G122" s="1477"/>
      <c r="H122" s="1477"/>
      <c r="I122" s="1478"/>
      <c r="J122" s="796">
        <f>ROUND($I$86*J121,2)</f>
        <v>7.53</v>
      </c>
      <c r="K122" s="789"/>
      <c r="L122" s="789"/>
    </row>
    <row r="123" spans="1:12" ht="39" customHeight="1">
      <c r="A123" s="716"/>
      <c r="B123" s="743" t="s">
        <v>360</v>
      </c>
      <c r="C123" s="1577" t="s">
        <v>724</v>
      </c>
      <c r="D123" s="1477"/>
      <c r="E123" s="1477"/>
      <c r="F123" s="1477"/>
      <c r="G123" s="1477"/>
      <c r="H123" s="1478"/>
      <c r="I123" s="831">
        <v>0.04</v>
      </c>
      <c r="J123" s="796">
        <f>ROUND(J58*I123,2)</f>
        <v>105.17</v>
      </c>
      <c r="K123" s="789"/>
      <c r="L123" s="789"/>
    </row>
    <row r="124" spans="1:12" ht="24.75" customHeight="1">
      <c r="A124" s="716"/>
      <c r="B124" s="1585" t="s">
        <v>441</v>
      </c>
      <c r="C124" s="1477"/>
      <c r="D124" s="1477"/>
      <c r="E124" s="1477"/>
      <c r="F124" s="1477"/>
      <c r="G124" s="1477"/>
      <c r="H124" s="1477"/>
      <c r="I124" s="1478"/>
      <c r="J124" s="788">
        <f>SUM(J119:J123)</f>
        <v>147.31</v>
      </c>
      <c r="K124" s="789"/>
      <c r="L124" s="789"/>
    </row>
    <row r="125" spans="1:12" ht="6" customHeight="1">
      <c r="A125" s="716"/>
      <c r="B125" s="1673"/>
      <c r="C125" s="1477"/>
      <c r="D125" s="1477"/>
      <c r="E125" s="1477"/>
      <c r="F125" s="1477"/>
      <c r="G125" s="1477"/>
      <c r="H125" s="1477"/>
      <c r="I125" s="1477"/>
      <c r="J125" s="1478"/>
      <c r="K125" s="777"/>
      <c r="L125" s="777"/>
    </row>
    <row r="126" spans="1:12" ht="21.75" customHeight="1">
      <c r="A126" s="716"/>
      <c r="B126" s="1674" t="s">
        <v>442</v>
      </c>
      <c r="C126" s="1477"/>
      <c r="D126" s="1477"/>
      <c r="E126" s="1477"/>
      <c r="F126" s="1477"/>
      <c r="G126" s="1477"/>
      <c r="H126" s="1477"/>
      <c r="I126" s="1477"/>
      <c r="J126" s="1478"/>
      <c r="K126" s="828"/>
      <c r="L126" s="828"/>
    </row>
    <row r="127" spans="1:12" ht="27.75" customHeight="1">
      <c r="A127" s="716"/>
      <c r="B127" s="1653" t="s">
        <v>443</v>
      </c>
      <c r="C127" s="1477"/>
      <c r="D127" s="1477"/>
      <c r="E127" s="1477"/>
      <c r="F127" s="1477"/>
      <c r="G127" s="1477"/>
      <c r="H127" s="1477"/>
      <c r="I127" s="1477"/>
      <c r="J127" s="1478"/>
      <c r="K127" s="750"/>
      <c r="L127" s="750"/>
    </row>
    <row r="128" spans="1:12" ht="53.25" customHeight="1">
      <c r="A128" s="716"/>
      <c r="B128" s="1663" t="s">
        <v>725</v>
      </c>
      <c r="C128" s="1477"/>
      <c r="D128" s="1477"/>
      <c r="E128" s="1477"/>
      <c r="F128" s="1477"/>
      <c r="G128" s="1477"/>
      <c r="H128" s="1477"/>
      <c r="I128" s="1477"/>
      <c r="J128" s="1478"/>
      <c r="K128" s="780"/>
      <c r="L128" s="780"/>
    </row>
    <row r="129" spans="1:12" ht="39.75" customHeight="1">
      <c r="A129" s="716"/>
      <c r="B129" s="832" t="s">
        <v>445</v>
      </c>
      <c r="C129" s="833">
        <f>J58</f>
        <v>2629.18</v>
      </c>
      <c r="D129" s="834" t="s">
        <v>446</v>
      </c>
      <c r="E129" s="1002" t="s">
        <v>726</v>
      </c>
      <c r="F129" s="1003">
        <f>J115-J92-J97-J105</f>
        <v>1059.9659999999999</v>
      </c>
      <c r="G129" s="834" t="s">
        <v>446</v>
      </c>
      <c r="H129" s="832" t="s">
        <v>448</v>
      </c>
      <c r="I129" s="833">
        <f>J124</f>
        <v>147.31</v>
      </c>
      <c r="J129" s="835">
        <f>C129+F129+I129</f>
        <v>3836.4559999999997</v>
      </c>
      <c r="K129" s="836"/>
      <c r="L129" s="836"/>
    </row>
    <row r="130" spans="1:12" ht="6" customHeight="1">
      <c r="A130" s="716"/>
      <c r="B130" s="1675"/>
      <c r="C130" s="1477"/>
      <c r="D130" s="1477"/>
      <c r="E130" s="1477"/>
      <c r="F130" s="1477"/>
      <c r="G130" s="1477"/>
      <c r="H130" s="1477"/>
      <c r="I130" s="1477"/>
      <c r="J130" s="1478"/>
      <c r="K130" s="837"/>
      <c r="L130" s="837"/>
    </row>
    <row r="131" spans="1:12" ht="18" customHeight="1">
      <c r="A131" s="716"/>
      <c r="B131" s="1606" t="s">
        <v>449</v>
      </c>
      <c r="C131" s="1477"/>
      <c r="D131" s="1477"/>
      <c r="E131" s="1477"/>
      <c r="F131" s="1477"/>
      <c r="G131" s="1477"/>
      <c r="H131" s="1477"/>
      <c r="I131" s="1477"/>
      <c r="J131" s="1478"/>
      <c r="K131" s="838"/>
      <c r="L131" s="838"/>
    </row>
    <row r="132" spans="1:12" ht="24.75" customHeight="1">
      <c r="A132" s="716"/>
      <c r="B132" s="805" t="s">
        <v>450</v>
      </c>
      <c r="C132" s="1555" t="s">
        <v>451</v>
      </c>
      <c r="D132" s="1477"/>
      <c r="E132" s="1477"/>
      <c r="F132" s="1477"/>
      <c r="G132" s="1477"/>
      <c r="H132" s="1477"/>
      <c r="I132" s="1478"/>
      <c r="J132" s="1001" t="s">
        <v>390</v>
      </c>
      <c r="K132" s="727"/>
      <c r="L132" s="727"/>
    </row>
    <row r="133" spans="1:12" ht="35.25" customHeight="1">
      <c r="A133" s="716"/>
      <c r="B133" s="743" t="s">
        <v>312</v>
      </c>
      <c r="C133" s="1656" t="s">
        <v>727</v>
      </c>
      <c r="D133" s="1477"/>
      <c r="E133" s="1477"/>
      <c r="F133" s="1477"/>
      <c r="G133" s="1477"/>
      <c r="H133" s="840">
        <v>9.0749999999999997E-2</v>
      </c>
      <c r="I133" s="1004">
        <f>I86</f>
        <v>0.36800000000000005</v>
      </c>
      <c r="J133" s="796">
        <f>IF('1-ABA-DE-CARREGAMENTO'!E81="S",(ROUND(H133*J58,2)*(1+I133)),IF('1-ABA-DE-CARREGAMENTO'!E81="N",0,"INFORME S ou N"))</f>
        <v>0</v>
      </c>
      <c r="K133" s="789"/>
      <c r="L133" s="789"/>
    </row>
    <row r="134" spans="1:12" ht="35.25" customHeight="1">
      <c r="A134" s="716"/>
      <c r="B134" s="743" t="s">
        <v>314</v>
      </c>
      <c r="C134" s="1577" t="s">
        <v>728</v>
      </c>
      <c r="D134" s="1477"/>
      <c r="E134" s="1477"/>
      <c r="F134" s="1477"/>
      <c r="G134" s="1477"/>
      <c r="H134" s="1477"/>
      <c r="I134" s="1478"/>
      <c r="J134" s="796">
        <f>ROUND((1/30)/12*(J129),2)</f>
        <v>10.66</v>
      </c>
      <c r="K134" s="789"/>
      <c r="L134" s="789"/>
    </row>
    <row r="135" spans="1:12" ht="35.25" customHeight="1">
      <c r="A135" s="716"/>
      <c r="B135" s="743" t="s">
        <v>316</v>
      </c>
      <c r="C135" s="1577" t="s">
        <v>729</v>
      </c>
      <c r="D135" s="1477"/>
      <c r="E135" s="1477"/>
      <c r="F135" s="1477"/>
      <c r="G135" s="1477"/>
      <c r="H135" s="1477"/>
      <c r="I135" s="1478"/>
      <c r="J135" s="796">
        <f>ROUND((5/30)/12*0.015*(J129),2)</f>
        <v>0.8</v>
      </c>
      <c r="K135" s="789"/>
      <c r="L135" s="789"/>
    </row>
    <row r="136" spans="1:12" ht="35.25" customHeight="1">
      <c r="A136" s="716"/>
      <c r="B136" s="743" t="s">
        <v>318</v>
      </c>
      <c r="C136" s="1577" t="s">
        <v>730</v>
      </c>
      <c r="D136" s="1477"/>
      <c r="E136" s="1477"/>
      <c r="F136" s="1477"/>
      <c r="G136" s="1477"/>
      <c r="H136" s="1477"/>
      <c r="I136" s="1478"/>
      <c r="J136" s="796">
        <f>ROUND(((15/30)/12)*0.0078*(J129),2)</f>
        <v>1.25</v>
      </c>
      <c r="K136" s="789"/>
      <c r="L136" s="789"/>
    </row>
    <row r="137" spans="1:12" ht="35.25" customHeight="1">
      <c r="A137" s="716"/>
      <c r="B137" s="843" t="s">
        <v>360</v>
      </c>
      <c r="C137" s="1676" t="s">
        <v>731</v>
      </c>
      <c r="D137" s="1477"/>
      <c r="E137" s="1477"/>
      <c r="F137" s="1477"/>
      <c r="G137" s="1477"/>
      <c r="H137" s="1477"/>
      <c r="I137" s="1478"/>
      <c r="J137" s="844">
        <f>ROUND(((((C129+C129/3)+(I86)*(C129+C129/3))*(4/12))/12)*0.02,2) + ((J106-J92-J97-J105+J124)*4/12)*0.02</f>
        <v>1.5355066666666666</v>
      </c>
      <c r="K137" s="1006"/>
      <c r="L137" s="1006"/>
    </row>
    <row r="138" spans="1:12" ht="62.25" customHeight="1">
      <c r="A138" s="716"/>
      <c r="B138" s="743" t="s">
        <v>364</v>
      </c>
      <c r="C138" s="1577" t="s">
        <v>732</v>
      </c>
      <c r="D138" s="1477"/>
      <c r="E138" s="1477"/>
      <c r="F138" s="1477"/>
      <c r="G138" s="1477"/>
      <c r="H138" s="1477"/>
      <c r="I138" s="1478"/>
      <c r="J138" s="796">
        <f>ROUND(((3/30)/12)*(J129),2)</f>
        <v>31.97</v>
      </c>
      <c r="K138" s="789"/>
      <c r="L138" s="789"/>
    </row>
    <row r="139" spans="1:12" ht="11.25" customHeight="1">
      <c r="A139" s="716"/>
      <c r="B139" s="1585" t="s">
        <v>393</v>
      </c>
      <c r="C139" s="1477"/>
      <c r="D139" s="1477"/>
      <c r="E139" s="1477"/>
      <c r="F139" s="1477"/>
      <c r="G139" s="1477"/>
      <c r="H139" s="1477"/>
      <c r="I139" s="1478"/>
      <c r="J139" s="788">
        <f>SUM(J133:J138)</f>
        <v>46.21550666666667</v>
      </c>
      <c r="K139" s="789"/>
      <c r="L139" s="789"/>
    </row>
    <row r="140" spans="1:12" ht="6" customHeight="1">
      <c r="A140" s="716"/>
      <c r="B140" s="1673"/>
      <c r="C140" s="1477"/>
      <c r="D140" s="1477"/>
      <c r="E140" s="1477"/>
      <c r="F140" s="1477"/>
      <c r="G140" s="1477"/>
      <c r="H140" s="1477"/>
      <c r="I140" s="1477"/>
      <c r="J140" s="1478"/>
      <c r="K140" s="777"/>
      <c r="L140" s="777"/>
    </row>
    <row r="141" spans="1:12" ht="17.25" customHeight="1">
      <c r="A141" s="716"/>
      <c r="B141" s="1602" t="s">
        <v>458</v>
      </c>
      <c r="C141" s="1477"/>
      <c r="D141" s="1477"/>
      <c r="E141" s="1477"/>
      <c r="F141" s="1477"/>
      <c r="G141" s="1477"/>
      <c r="H141" s="1477"/>
      <c r="I141" s="1477"/>
      <c r="J141" s="1478"/>
      <c r="K141" s="780"/>
      <c r="L141" s="780"/>
    </row>
    <row r="142" spans="1:12" ht="22.5" customHeight="1">
      <c r="A142" s="716"/>
      <c r="B142" s="846" t="s">
        <v>459</v>
      </c>
      <c r="C142" s="1677" t="s">
        <v>460</v>
      </c>
      <c r="D142" s="1477"/>
      <c r="E142" s="1477"/>
      <c r="F142" s="1477"/>
      <c r="G142" s="1477"/>
      <c r="H142" s="1477"/>
      <c r="I142" s="1478"/>
      <c r="J142" s="847" t="s">
        <v>390</v>
      </c>
      <c r="K142" s="848"/>
      <c r="L142" s="848"/>
    </row>
    <row r="143" spans="1:12" ht="23.25" customHeight="1">
      <c r="A143" s="716"/>
      <c r="B143" s="849" t="s">
        <v>312</v>
      </c>
      <c r="C143" s="1678" t="s">
        <v>461</v>
      </c>
      <c r="D143" s="1477"/>
      <c r="E143" s="1477"/>
      <c r="F143" s="1477"/>
      <c r="G143" s="1477"/>
      <c r="H143" s="1477"/>
      <c r="I143" s="1478"/>
      <c r="J143" s="850">
        <v>0</v>
      </c>
      <c r="K143" s="825"/>
      <c r="L143" s="825"/>
    </row>
    <row r="144" spans="1:12" ht="11.25" customHeight="1">
      <c r="A144" s="716"/>
      <c r="B144" s="1660" t="s">
        <v>393</v>
      </c>
      <c r="C144" s="1477"/>
      <c r="D144" s="1477"/>
      <c r="E144" s="1477"/>
      <c r="F144" s="1477"/>
      <c r="G144" s="1477"/>
      <c r="H144" s="1477"/>
      <c r="I144" s="1478"/>
      <c r="J144" s="851">
        <v>0</v>
      </c>
      <c r="K144" s="825"/>
      <c r="L144" s="825"/>
    </row>
    <row r="145" spans="1:12" ht="6" customHeight="1">
      <c r="A145" s="716"/>
      <c r="B145" s="1679"/>
      <c r="C145" s="1477"/>
      <c r="D145" s="1477"/>
      <c r="E145" s="1477"/>
      <c r="F145" s="1477"/>
      <c r="G145" s="1477"/>
      <c r="H145" s="1477"/>
      <c r="I145" s="1477"/>
      <c r="J145" s="1478"/>
      <c r="K145" s="852"/>
      <c r="L145" s="852"/>
    </row>
    <row r="146" spans="1:12" ht="19.5" customHeight="1">
      <c r="A146" s="716"/>
      <c r="B146" s="1579" t="s">
        <v>462</v>
      </c>
      <c r="C146" s="1477"/>
      <c r="D146" s="1477"/>
      <c r="E146" s="1477"/>
      <c r="F146" s="1477"/>
      <c r="G146" s="1477"/>
      <c r="H146" s="1477"/>
      <c r="I146" s="1477"/>
      <c r="J146" s="1478"/>
      <c r="K146" s="779"/>
      <c r="L146" s="779"/>
    </row>
    <row r="147" spans="1:12" ht="23.25" customHeight="1">
      <c r="A147" s="716"/>
      <c r="B147" s="793">
        <v>4</v>
      </c>
      <c r="C147" s="1677" t="s">
        <v>463</v>
      </c>
      <c r="D147" s="1477"/>
      <c r="E147" s="1477"/>
      <c r="F147" s="1477"/>
      <c r="G147" s="1477"/>
      <c r="H147" s="1477"/>
      <c r="I147" s="1478"/>
      <c r="J147" s="847" t="s">
        <v>390</v>
      </c>
      <c r="K147" s="848"/>
      <c r="L147" s="848"/>
    </row>
    <row r="148" spans="1:12" ht="19.5" customHeight="1">
      <c r="A148" s="716"/>
      <c r="B148" s="733" t="s">
        <v>450</v>
      </c>
      <c r="C148" s="1678" t="s">
        <v>451</v>
      </c>
      <c r="D148" s="1477"/>
      <c r="E148" s="1477"/>
      <c r="F148" s="1477"/>
      <c r="G148" s="1477"/>
      <c r="H148" s="1477"/>
      <c r="I148" s="1478"/>
      <c r="J148" s="850">
        <f>J139</f>
        <v>46.21550666666667</v>
      </c>
      <c r="K148" s="825"/>
      <c r="L148" s="825"/>
    </row>
    <row r="149" spans="1:12" ht="19.5" customHeight="1">
      <c r="A149" s="716"/>
      <c r="B149" s="733" t="s">
        <v>464</v>
      </c>
      <c r="C149" s="1678" t="s">
        <v>460</v>
      </c>
      <c r="D149" s="1477"/>
      <c r="E149" s="1477"/>
      <c r="F149" s="1477"/>
      <c r="G149" s="1477"/>
      <c r="H149" s="1477"/>
      <c r="I149" s="1478"/>
      <c r="J149" s="850">
        <f>J144</f>
        <v>0</v>
      </c>
      <c r="K149" s="825"/>
      <c r="L149" s="825"/>
    </row>
    <row r="150" spans="1:12" ht="11.25" customHeight="1">
      <c r="A150" s="716"/>
      <c r="B150" s="1669" t="s">
        <v>393</v>
      </c>
      <c r="C150" s="1477"/>
      <c r="D150" s="1477"/>
      <c r="E150" s="1477"/>
      <c r="F150" s="1477"/>
      <c r="G150" s="1477"/>
      <c r="H150" s="1477"/>
      <c r="I150" s="1478"/>
      <c r="J150" s="851">
        <f>SUM(J148+J149)</f>
        <v>46.21550666666667</v>
      </c>
      <c r="K150" s="825"/>
      <c r="L150" s="825"/>
    </row>
    <row r="151" spans="1:12" ht="11.25" customHeight="1">
      <c r="A151" s="716"/>
      <c r="B151" s="1679"/>
      <c r="C151" s="1477"/>
      <c r="D151" s="1477"/>
      <c r="E151" s="1477"/>
      <c r="F151" s="1477"/>
      <c r="G151" s="1477"/>
      <c r="H151" s="1477"/>
      <c r="I151" s="1477"/>
      <c r="J151" s="1478"/>
      <c r="K151" s="852"/>
      <c r="L151" s="852"/>
    </row>
    <row r="152" spans="1:12" ht="21" customHeight="1">
      <c r="A152" s="716"/>
      <c r="B152" s="1674" t="s">
        <v>465</v>
      </c>
      <c r="C152" s="1477"/>
      <c r="D152" s="1477"/>
      <c r="E152" s="1477"/>
      <c r="F152" s="1477"/>
      <c r="G152" s="1477"/>
      <c r="H152" s="1477"/>
      <c r="I152" s="1477"/>
      <c r="J152" s="1478"/>
      <c r="K152" s="828"/>
      <c r="L152" s="828"/>
    </row>
    <row r="153" spans="1:12" ht="11.25" customHeight="1">
      <c r="A153" s="716"/>
      <c r="B153" s="805">
        <v>3</v>
      </c>
      <c r="C153" s="1603" t="s">
        <v>466</v>
      </c>
      <c r="D153" s="1477"/>
      <c r="E153" s="1477"/>
      <c r="F153" s="1477"/>
      <c r="G153" s="1477"/>
      <c r="H153" s="1477"/>
      <c r="I153" s="1478"/>
      <c r="J153" s="1001" t="s">
        <v>390</v>
      </c>
      <c r="K153" s="727"/>
      <c r="L153" s="727"/>
    </row>
    <row r="154" spans="1:12" ht="18.75" customHeight="1">
      <c r="A154" s="716"/>
      <c r="B154" s="743" t="s">
        <v>312</v>
      </c>
      <c r="C154" s="1577" t="s">
        <v>467</v>
      </c>
      <c r="D154" s="1477"/>
      <c r="E154" s="1477"/>
      <c r="F154" s="1477"/>
      <c r="G154" s="1477"/>
      <c r="H154" s="1477"/>
      <c r="I154" s="1478"/>
      <c r="J154" s="853">
        <f>'Uniformes - EPIs_TODOS'!I9</f>
        <v>1.7210000000000001</v>
      </c>
      <c r="K154" s="789"/>
      <c r="L154" s="789"/>
    </row>
    <row r="155" spans="1:12" ht="18.75" customHeight="1">
      <c r="A155" s="716"/>
      <c r="B155" s="743" t="s">
        <v>314</v>
      </c>
      <c r="C155" s="1577" t="s">
        <v>733</v>
      </c>
      <c r="D155" s="1477"/>
      <c r="E155" s="1477"/>
      <c r="F155" s="1477"/>
      <c r="G155" s="1477"/>
      <c r="H155" s="1477"/>
      <c r="I155" s="1478"/>
      <c r="J155" s="855">
        <v>0</v>
      </c>
      <c r="K155" s="856"/>
      <c r="L155" s="856"/>
    </row>
    <row r="156" spans="1:12" ht="18.75" customHeight="1">
      <c r="A156" s="716"/>
      <c r="B156" s="743" t="s">
        <v>316</v>
      </c>
      <c r="C156" s="1577" t="s">
        <v>468</v>
      </c>
      <c r="D156" s="1477"/>
      <c r="E156" s="1477"/>
      <c r="F156" s="1477"/>
      <c r="G156" s="1477"/>
      <c r="H156" s="1477"/>
      <c r="I156" s="1478"/>
      <c r="J156" s="854" t="s">
        <v>640</v>
      </c>
      <c r="K156" s="789"/>
      <c r="L156" s="789"/>
    </row>
    <row r="157" spans="1:12" ht="15" customHeight="1">
      <c r="A157" s="716"/>
      <c r="B157" s="1585" t="s">
        <v>469</v>
      </c>
      <c r="C157" s="1477"/>
      <c r="D157" s="1477"/>
      <c r="E157" s="1477"/>
      <c r="F157" s="1477"/>
      <c r="G157" s="1477"/>
      <c r="H157" s="1477"/>
      <c r="I157" s="1478"/>
      <c r="J157" s="857">
        <f>ROUND(SUM(J154:J156),2)</f>
        <v>1.72</v>
      </c>
      <c r="K157" s="789"/>
      <c r="L157" s="789"/>
    </row>
    <row r="158" spans="1:12" ht="6.75" customHeight="1">
      <c r="A158" s="716"/>
      <c r="B158" s="1680"/>
      <c r="C158" s="1477"/>
      <c r="D158" s="1477"/>
      <c r="E158" s="1477"/>
      <c r="F158" s="1477"/>
      <c r="G158" s="1477"/>
      <c r="H158" s="1477"/>
      <c r="I158" s="1477"/>
      <c r="J158" s="1478"/>
      <c r="K158" s="858"/>
      <c r="L158" s="858"/>
    </row>
    <row r="159" spans="1:12" ht="11.25" customHeight="1">
      <c r="A159" s="716"/>
      <c r="B159" s="1681" t="s">
        <v>470</v>
      </c>
      <c r="C159" s="1477"/>
      <c r="D159" s="1477"/>
      <c r="E159" s="1477"/>
      <c r="F159" s="1477"/>
      <c r="G159" s="1477"/>
      <c r="H159" s="1477"/>
      <c r="I159" s="1477"/>
      <c r="J159" s="1478"/>
      <c r="K159" s="730"/>
      <c r="L159" s="730"/>
    </row>
    <row r="160" spans="1:12" ht="6.75" customHeight="1">
      <c r="A160" s="716"/>
      <c r="B160" s="859"/>
      <c r="C160" s="860"/>
      <c r="D160" s="860"/>
      <c r="E160" s="860"/>
      <c r="F160" s="860"/>
      <c r="G160" s="860"/>
      <c r="H160" s="860"/>
      <c r="I160" s="860"/>
      <c r="J160" s="1008"/>
      <c r="K160" s="862"/>
      <c r="L160" s="862"/>
    </row>
    <row r="161" spans="1:12" ht="21" customHeight="1">
      <c r="A161" s="716"/>
      <c r="B161" s="1559" t="s">
        <v>471</v>
      </c>
      <c r="C161" s="1477"/>
      <c r="D161" s="1477"/>
      <c r="E161" s="1477"/>
      <c r="F161" s="1477"/>
      <c r="G161" s="1477"/>
      <c r="H161" s="1477"/>
      <c r="I161" s="1477"/>
      <c r="J161" s="1478"/>
      <c r="K161" s="828"/>
      <c r="L161" s="828"/>
    </row>
    <row r="162" spans="1:12" ht="28">
      <c r="A162" s="716"/>
      <c r="B162" s="805">
        <v>6</v>
      </c>
      <c r="C162" s="1555" t="s">
        <v>472</v>
      </c>
      <c r="D162" s="1477"/>
      <c r="E162" s="1477"/>
      <c r="F162" s="1477"/>
      <c r="G162" s="1477"/>
      <c r="H162" s="1478"/>
      <c r="I162" s="863" t="s">
        <v>354</v>
      </c>
      <c r="J162" s="864" t="s">
        <v>398</v>
      </c>
      <c r="K162" s="865"/>
      <c r="L162" s="865"/>
    </row>
    <row r="163" spans="1:12" ht="54.75" customHeight="1">
      <c r="A163" s="716"/>
      <c r="B163" s="1560" t="s">
        <v>473</v>
      </c>
      <c r="C163" s="1477"/>
      <c r="D163" s="1477"/>
      <c r="E163" s="1477"/>
      <c r="F163" s="1477"/>
      <c r="G163" s="1477"/>
      <c r="H163" s="1478"/>
      <c r="I163" s="434" t="s">
        <v>325</v>
      </c>
      <c r="J163" s="1009">
        <f>SUM(J63+J115+J124+J150+J157)</f>
        <v>4659.6455066666667</v>
      </c>
      <c r="K163" s="749"/>
      <c r="L163" s="749"/>
    </row>
    <row r="164" spans="1:12" ht="18" customHeight="1">
      <c r="A164" s="716"/>
      <c r="B164" s="743" t="s">
        <v>312</v>
      </c>
      <c r="C164" s="1561" t="s">
        <v>474</v>
      </c>
      <c r="D164" s="1477"/>
      <c r="E164" s="1477"/>
      <c r="F164" s="1477"/>
      <c r="G164" s="1477"/>
      <c r="H164" s="1478"/>
      <c r="I164" s="795">
        <f>'1-ABA-DE-CARREGAMENTO'!E85</f>
        <v>0.06</v>
      </c>
      <c r="J164" s="1010">
        <f>ROUND(I164*(J163),2)</f>
        <v>279.58</v>
      </c>
      <c r="K164" s="789"/>
      <c r="L164" s="789"/>
    </row>
    <row r="165" spans="1:12" ht="51" customHeight="1">
      <c r="A165" s="716"/>
      <c r="B165" s="1560" t="s">
        <v>475</v>
      </c>
      <c r="C165" s="1477"/>
      <c r="D165" s="1477"/>
      <c r="E165" s="1477"/>
      <c r="F165" s="1477"/>
      <c r="G165" s="1477"/>
      <c r="H165" s="1478"/>
      <c r="I165" s="868" t="s">
        <v>325</v>
      </c>
      <c r="J165" s="1009">
        <f>SUM(J63+J115+J124+J150+J157+J164)</f>
        <v>4939.2255066666667</v>
      </c>
      <c r="K165" s="749"/>
      <c r="L165" s="749"/>
    </row>
    <row r="166" spans="1:12" ht="15" customHeight="1">
      <c r="A166" s="716"/>
      <c r="B166" s="743" t="s">
        <v>314</v>
      </c>
      <c r="C166" s="1561" t="s">
        <v>251</v>
      </c>
      <c r="D166" s="1477"/>
      <c r="E166" s="1477"/>
      <c r="F166" s="1477"/>
      <c r="G166" s="1477"/>
      <c r="H166" s="1478"/>
      <c r="I166" s="795">
        <f>'1-ABA-DE-CARREGAMENTO'!E86</f>
        <v>0.06</v>
      </c>
      <c r="J166" s="1010">
        <f>ROUND(I166*J165,2)</f>
        <v>296.35000000000002</v>
      </c>
      <c r="K166" s="789"/>
      <c r="L166" s="789"/>
    </row>
    <row r="167" spans="1:12" ht="58.5" customHeight="1">
      <c r="A167" s="716"/>
      <c r="B167" s="1560" t="s">
        <v>476</v>
      </c>
      <c r="C167" s="1477"/>
      <c r="D167" s="1477"/>
      <c r="E167" s="1477"/>
      <c r="F167" s="1477"/>
      <c r="G167" s="1477"/>
      <c r="H167" s="1478"/>
      <c r="I167" s="868" t="s">
        <v>325</v>
      </c>
      <c r="J167" s="1009">
        <f>SUM(J163+J164+J166)</f>
        <v>5235.575506666667</v>
      </c>
      <c r="K167" s="749"/>
      <c r="L167" s="749"/>
    </row>
    <row r="168" spans="1:12" ht="18" customHeight="1">
      <c r="A168" s="716"/>
      <c r="B168" s="870" t="s">
        <v>316</v>
      </c>
      <c r="C168" s="1559" t="s">
        <v>477</v>
      </c>
      <c r="D168" s="1477"/>
      <c r="E168" s="1477"/>
      <c r="F168" s="1477"/>
      <c r="G168" s="1477"/>
      <c r="H168" s="1478"/>
      <c r="I168" s="871" t="s">
        <v>325</v>
      </c>
      <c r="J168" s="1011" t="s">
        <v>325</v>
      </c>
      <c r="K168" s="770"/>
      <c r="L168" s="770"/>
    </row>
    <row r="169" spans="1:12" ht="22.5" customHeight="1">
      <c r="A169" s="716"/>
      <c r="B169" s="743"/>
      <c r="C169" s="1589" t="s">
        <v>478</v>
      </c>
      <c r="D169" s="1477"/>
      <c r="E169" s="1477"/>
      <c r="F169" s="1477"/>
      <c r="G169" s="1477"/>
      <c r="H169" s="1478"/>
      <c r="I169" s="871" t="s">
        <v>325</v>
      </c>
      <c r="J169" s="1011" t="s">
        <v>325</v>
      </c>
      <c r="K169" s="770"/>
      <c r="L169" s="770"/>
    </row>
    <row r="170" spans="1:12" ht="22.5" customHeight="1">
      <c r="A170" s="716"/>
      <c r="B170" s="743"/>
      <c r="C170" s="1590" t="s">
        <v>734</v>
      </c>
      <c r="D170" s="1477"/>
      <c r="E170" s="1477"/>
      <c r="F170" s="1477"/>
      <c r="G170" s="1477"/>
      <c r="H170" s="1478"/>
      <c r="I170" s="760">
        <f>'1-ABA-DE-CARREGAMENTO'!E28</f>
        <v>1.6500000000000001E-2</v>
      </c>
      <c r="J170" s="1010">
        <f t="shared" ref="J170:J171" si="3">ROUND(($J$167/(1-$I$179))*I170,2)</f>
        <v>97.34</v>
      </c>
      <c r="K170" s="759"/>
      <c r="L170" s="759"/>
    </row>
    <row r="171" spans="1:12" ht="22.5" customHeight="1">
      <c r="A171" s="716"/>
      <c r="B171" s="743"/>
      <c r="C171" s="1590" t="s">
        <v>735</v>
      </c>
      <c r="D171" s="1477"/>
      <c r="E171" s="1477"/>
      <c r="F171" s="1477"/>
      <c r="G171" s="1477"/>
      <c r="H171" s="1478"/>
      <c r="I171" s="760">
        <f>'1-ABA-DE-CARREGAMENTO'!F28</f>
        <v>7.5999999999999998E-2</v>
      </c>
      <c r="J171" s="1010">
        <f t="shared" si="3"/>
        <v>448.34</v>
      </c>
      <c r="K171" s="759"/>
      <c r="L171" s="759"/>
    </row>
    <row r="172" spans="1:12" ht="22.5" customHeight="1">
      <c r="A172" s="716"/>
      <c r="B172" s="743"/>
      <c r="C172" s="1577" t="s">
        <v>736</v>
      </c>
      <c r="D172" s="1477"/>
      <c r="E172" s="1477"/>
      <c r="F172" s="1477"/>
      <c r="G172" s="1477"/>
      <c r="H172" s="1478"/>
      <c r="I172" s="872" t="s">
        <v>325</v>
      </c>
      <c r="J172" s="1011" t="s">
        <v>325</v>
      </c>
      <c r="K172" s="770"/>
      <c r="L172" s="770"/>
    </row>
    <row r="173" spans="1:12" ht="22.5" customHeight="1">
      <c r="A173" s="716"/>
      <c r="B173" s="743"/>
      <c r="C173" s="1577" t="s">
        <v>737</v>
      </c>
      <c r="D173" s="1477"/>
      <c r="E173" s="1477"/>
      <c r="F173" s="1477"/>
      <c r="G173" s="1477"/>
      <c r="H173" s="1478"/>
      <c r="I173" s="872" t="s">
        <v>325</v>
      </c>
      <c r="J173" s="1011" t="s">
        <v>325</v>
      </c>
      <c r="K173" s="770"/>
      <c r="L173" s="770"/>
    </row>
    <row r="174" spans="1:12" ht="22.5" customHeight="1">
      <c r="A174" s="716"/>
      <c r="B174" s="743"/>
      <c r="C174" s="1577" t="s">
        <v>483</v>
      </c>
      <c r="D174" s="1477"/>
      <c r="E174" s="1477"/>
      <c r="F174" s="1477"/>
      <c r="G174" s="1477"/>
      <c r="H174" s="1477"/>
      <c r="I174" s="872" t="s">
        <v>325</v>
      </c>
      <c r="J174" s="1011" t="s">
        <v>325</v>
      </c>
      <c r="K174" s="770"/>
      <c r="L174" s="770"/>
    </row>
    <row r="175" spans="1:12" ht="22.5" customHeight="1">
      <c r="A175" s="716"/>
      <c r="B175" s="743"/>
      <c r="C175" s="1577" t="s">
        <v>484</v>
      </c>
      <c r="D175" s="1477"/>
      <c r="E175" s="1477"/>
      <c r="F175" s="1477"/>
      <c r="G175" s="1477"/>
      <c r="H175" s="1477"/>
      <c r="I175" s="872" t="s">
        <v>325</v>
      </c>
      <c r="J175" s="1011" t="s">
        <v>325</v>
      </c>
      <c r="K175" s="770"/>
      <c r="L175" s="770"/>
    </row>
    <row r="176" spans="1:12" ht="22.5" customHeight="1">
      <c r="A176" s="716"/>
      <c r="B176" s="743"/>
      <c r="C176" s="1577" t="s">
        <v>738</v>
      </c>
      <c r="D176" s="1477"/>
      <c r="E176" s="1477"/>
      <c r="F176" s="1477"/>
      <c r="G176" s="1477"/>
      <c r="H176" s="1478"/>
      <c r="I176" s="873">
        <f>'1-ABA-DE-CARREGAMENTO'!D87</f>
        <v>0.02</v>
      </c>
      <c r="J176" s="1010">
        <f>ROUND(($J$167/(1-$I$179))*I176,2)</f>
        <v>117.98</v>
      </c>
      <c r="K176" s="759"/>
      <c r="L176" s="759"/>
    </row>
    <row r="177" spans="1:12" ht="11.25" customHeight="1">
      <c r="A177" s="716"/>
      <c r="B177" s="1585" t="s">
        <v>441</v>
      </c>
      <c r="C177" s="1477"/>
      <c r="D177" s="1477"/>
      <c r="E177" s="1477"/>
      <c r="F177" s="1477"/>
      <c r="G177" s="1477"/>
      <c r="H177" s="1477"/>
      <c r="I177" s="1478"/>
      <c r="J177" s="1000">
        <f>SUM(J164+J166+J170+J171+J176)</f>
        <v>1239.5900000000001</v>
      </c>
      <c r="K177" s="789"/>
      <c r="L177" s="789"/>
    </row>
    <row r="178" spans="1:12" ht="6.75" customHeight="1">
      <c r="A178" s="716"/>
      <c r="B178" s="1673"/>
      <c r="C178" s="1477"/>
      <c r="D178" s="1477"/>
      <c r="E178" s="1477"/>
      <c r="F178" s="1477"/>
      <c r="G178" s="1477"/>
      <c r="H178" s="1477"/>
      <c r="I178" s="1477"/>
      <c r="J178" s="1478"/>
      <c r="K178" s="777"/>
      <c r="L178" s="777"/>
    </row>
    <row r="179" spans="1:12" ht="11.25" customHeight="1">
      <c r="A179" s="716"/>
      <c r="B179" s="1682" t="s">
        <v>486</v>
      </c>
      <c r="C179" s="1477"/>
      <c r="D179" s="1477"/>
      <c r="E179" s="1477"/>
      <c r="F179" s="1477"/>
      <c r="G179" s="1477"/>
      <c r="H179" s="1478"/>
      <c r="I179" s="874">
        <f t="shared" ref="I179:J179" si="4">SUM(I170:I176)</f>
        <v>0.1125</v>
      </c>
      <c r="J179" s="866">
        <f t="shared" si="4"/>
        <v>663.66</v>
      </c>
      <c r="K179" s="749"/>
      <c r="L179" s="749"/>
    </row>
    <row r="180" spans="1:12" ht="11.25" customHeight="1">
      <c r="A180" s="716"/>
      <c r="B180" s="1683" t="s">
        <v>487</v>
      </c>
      <c r="C180" s="1419"/>
      <c r="D180" s="1686" t="s">
        <v>488</v>
      </c>
      <c r="E180" s="1419"/>
      <c r="F180" s="1419"/>
      <c r="G180" s="1419"/>
      <c r="H180" s="1419"/>
      <c r="I180" s="1419"/>
      <c r="J180" s="1539"/>
      <c r="K180" s="876"/>
      <c r="L180" s="876"/>
    </row>
    <row r="181" spans="1:12" ht="11.25" customHeight="1">
      <c r="A181" s="716"/>
      <c r="B181" s="1684"/>
      <c r="C181" s="1419"/>
      <c r="D181" s="1687" t="s">
        <v>489</v>
      </c>
      <c r="E181" s="1419"/>
      <c r="F181" s="1419"/>
      <c r="G181" s="1419"/>
      <c r="H181" s="1419"/>
      <c r="I181" s="1419"/>
      <c r="J181" s="1539"/>
      <c r="K181" s="878"/>
      <c r="L181" s="878"/>
    </row>
    <row r="182" spans="1:12" ht="11.25" customHeight="1">
      <c r="A182" s="716"/>
      <c r="B182" s="1685"/>
      <c r="C182" s="1575"/>
      <c r="D182" s="1688" t="s">
        <v>490</v>
      </c>
      <c r="E182" s="1575"/>
      <c r="F182" s="1575"/>
      <c r="G182" s="1575"/>
      <c r="H182" s="1575"/>
      <c r="I182" s="1575"/>
      <c r="J182" s="1608"/>
      <c r="K182" s="876"/>
      <c r="L182" s="876"/>
    </row>
    <row r="183" spans="1:12" ht="6.75" customHeight="1">
      <c r="A183" s="716"/>
      <c r="B183" s="1689"/>
      <c r="C183" s="1477"/>
      <c r="D183" s="1477"/>
      <c r="E183" s="1477"/>
      <c r="F183" s="1477"/>
      <c r="G183" s="1477"/>
      <c r="H183" s="1477"/>
      <c r="I183" s="1477"/>
      <c r="J183" s="1478"/>
      <c r="K183" s="879"/>
      <c r="L183" s="879"/>
    </row>
    <row r="184" spans="1:12" ht="11.25" customHeight="1">
      <c r="A184" s="716"/>
      <c r="B184" s="1617" t="s">
        <v>491</v>
      </c>
      <c r="C184" s="1477"/>
      <c r="D184" s="1477"/>
      <c r="E184" s="1477"/>
      <c r="F184" s="1477"/>
      <c r="G184" s="1477"/>
      <c r="H184" s="1477"/>
      <c r="I184" s="1477"/>
      <c r="J184" s="1478"/>
      <c r="K184" s="730"/>
      <c r="L184" s="730"/>
    </row>
    <row r="185" spans="1:12" ht="6.75" customHeight="1">
      <c r="A185" s="716"/>
      <c r="B185" s="1673"/>
      <c r="C185" s="1477"/>
      <c r="D185" s="1477"/>
      <c r="E185" s="1477"/>
      <c r="F185" s="1477"/>
      <c r="G185" s="1477"/>
      <c r="H185" s="1477"/>
      <c r="I185" s="1477"/>
      <c r="J185" s="1478"/>
      <c r="K185" s="777"/>
      <c r="L185" s="777"/>
    </row>
    <row r="186" spans="1:12" ht="11.25" customHeight="1">
      <c r="A186" s="716"/>
      <c r="B186" s="1674" t="s">
        <v>739</v>
      </c>
      <c r="C186" s="1477"/>
      <c r="D186" s="1477"/>
      <c r="E186" s="1477"/>
      <c r="F186" s="1477"/>
      <c r="G186" s="1477"/>
      <c r="H186" s="1477"/>
      <c r="I186" s="1477"/>
      <c r="J186" s="1478"/>
      <c r="K186" s="828"/>
      <c r="L186" s="828"/>
    </row>
    <row r="187" spans="1:12" ht="12.75" customHeight="1">
      <c r="A187" s="716"/>
      <c r="B187" s="1572" t="s">
        <v>493</v>
      </c>
      <c r="C187" s="1477"/>
      <c r="D187" s="1477"/>
      <c r="E187" s="1477"/>
      <c r="F187" s="1477"/>
      <c r="G187" s="1477"/>
      <c r="H187" s="1477"/>
      <c r="I187" s="1478"/>
      <c r="J187" s="1012" t="s">
        <v>390</v>
      </c>
      <c r="K187" s="697"/>
      <c r="L187" s="697"/>
    </row>
    <row r="188" spans="1:12" ht="15.75" customHeight="1">
      <c r="A188" s="716"/>
      <c r="B188" s="880" t="s">
        <v>312</v>
      </c>
      <c r="C188" s="1599" t="s">
        <v>494</v>
      </c>
      <c r="D188" s="1477"/>
      <c r="E188" s="1477"/>
      <c r="F188" s="1477"/>
      <c r="G188" s="1477"/>
      <c r="H188" s="1477"/>
      <c r="I188" s="1477"/>
      <c r="J188" s="881">
        <f>J63</f>
        <v>2629.18</v>
      </c>
      <c r="K188" s="789"/>
      <c r="L188" s="789"/>
    </row>
    <row r="189" spans="1:12" ht="15.75" customHeight="1">
      <c r="A189" s="716"/>
      <c r="B189" s="880" t="s">
        <v>314</v>
      </c>
      <c r="C189" s="1599" t="s">
        <v>495</v>
      </c>
      <c r="D189" s="1477"/>
      <c r="E189" s="1477"/>
      <c r="F189" s="1477"/>
      <c r="G189" s="1477"/>
      <c r="H189" s="1477"/>
      <c r="I189" s="1477"/>
      <c r="J189" s="881">
        <f>J115</f>
        <v>1835.22</v>
      </c>
      <c r="K189" s="789"/>
      <c r="L189" s="789"/>
    </row>
    <row r="190" spans="1:12" ht="15.75" customHeight="1">
      <c r="A190" s="716"/>
      <c r="B190" s="880" t="s">
        <v>316</v>
      </c>
      <c r="C190" s="1599" t="s">
        <v>496</v>
      </c>
      <c r="D190" s="1477"/>
      <c r="E190" s="1477"/>
      <c r="F190" s="1477"/>
      <c r="G190" s="1477"/>
      <c r="H190" s="1477"/>
      <c r="I190" s="1477"/>
      <c r="J190" s="881">
        <f>J124</f>
        <v>147.31</v>
      </c>
      <c r="K190" s="789"/>
      <c r="L190" s="789"/>
    </row>
    <row r="191" spans="1:12" ht="15.75" customHeight="1">
      <c r="A191" s="716"/>
      <c r="B191" s="880" t="s">
        <v>318</v>
      </c>
      <c r="C191" s="1599" t="s">
        <v>497</v>
      </c>
      <c r="D191" s="1477"/>
      <c r="E191" s="1477"/>
      <c r="F191" s="1477"/>
      <c r="G191" s="1477"/>
      <c r="H191" s="1477"/>
      <c r="I191" s="1477"/>
      <c r="J191" s="881">
        <f>J150</f>
        <v>46.21550666666667</v>
      </c>
      <c r="K191" s="789"/>
      <c r="L191" s="789"/>
    </row>
    <row r="192" spans="1:12" ht="15.75" customHeight="1">
      <c r="A192" s="716"/>
      <c r="B192" s="880" t="s">
        <v>360</v>
      </c>
      <c r="C192" s="1599" t="s">
        <v>498</v>
      </c>
      <c r="D192" s="1477"/>
      <c r="E192" s="1477"/>
      <c r="F192" s="1477"/>
      <c r="G192" s="1477"/>
      <c r="H192" s="1477"/>
      <c r="I192" s="1477"/>
      <c r="J192" s="881">
        <f>J157</f>
        <v>1.72</v>
      </c>
      <c r="K192" s="789"/>
      <c r="L192" s="789"/>
    </row>
    <row r="193" spans="1:12" ht="15.75" customHeight="1">
      <c r="A193" s="716"/>
      <c r="B193" s="1600" t="s">
        <v>499</v>
      </c>
      <c r="C193" s="1477"/>
      <c r="D193" s="1477"/>
      <c r="E193" s="1477"/>
      <c r="F193" s="1477"/>
      <c r="G193" s="1477"/>
      <c r="H193" s="1477"/>
      <c r="I193" s="1521"/>
      <c r="J193" s="857">
        <f>ROUND(SUM(J188:J192),2)</f>
        <v>4659.6499999999996</v>
      </c>
      <c r="K193" s="789"/>
      <c r="L193" s="789"/>
    </row>
    <row r="194" spans="1:12" ht="15.75" customHeight="1">
      <c r="A194" s="716"/>
      <c r="B194" s="882" t="s">
        <v>364</v>
      </c>
      <c r="C194" s="1599" t="s">
        <v>471</v>
      </c>
      <c r="D194" s="1477"/>
      <c r="E194" s="1477"/>
      <c r="F194" s="1477"/>
      <c r="G194" s="1477"/>
      <c r="H194" s="1477"/>
      <c r="I194" s="1477"/>
      <c r="J194" s="881">
        <f>J177</f>
        <v>1239.5900000000001</v>
      </c>
      <c r="K194" s="789"/>
      <c r="L194" s="789"/>
    </row>
    <row r="195" spans="1:12" ht="25.5" customHeight="1">
      <c r="A195" s="716"/>
      <c r="B195" s="1690" t="s">
        <v>647</v>
      </c>
      <c r="C195" s="1477"/>
      <c r="D195" s="1477"/>
      <c r="E195" s="1477"/>
      <c r="F195" s="1477"/>
      <c r="G195" s="1477"/>
      <c r="H195" s="1477"/>
      <c r="I195" s="1521"/>
      <c r="J195" s="1013">
        <f>ROUND(J193+J194,2)</f>
        <v>5899.24</v>
      </c>
      <c r="K195" s="900"/>
      <c r="L195" s="900"/>
    </row>
    <row r="196" spans="1:12" ht="42" customHeight="1">
      <c r="A196" s="716"/>
      <c r="B196" s="1717" t="s">
        <v>501</v>
      </c>
      <c r="C196" s="1477"/>
      <c r="D196" s="1477"/>
      <c r="E196" s="1477"/>
      <c r="F196" s="1477"/>
      <c r="G196" s="1477"/>
      <c r="H196" s="1477"/>
      <c r="I196" s="1477"/>
      <c r="J196" s="1478"/>
      <c r="K196" s="1014"/>
      <c r="L196" s="1014"/>
    </row>
    <row r="197" spans="1:12" ht="9" customHeight="1">
      <c r="A197" s="716"/>
      <c r="B197" s="1718"/>
      <c r="C197" s="1477"/>
      <c r="D197" s="1477"/>
      <c r="E197" s="1477"/>
      <c r="F197" s="1477"/>
      <c r="G197" s="1477"/>
      <c r="H197" s="1477"/>
      <c r="I197" s="1477"/>
      <c r="J197" s="1478"/>
      <c r="K197" s="884"/>
      <c r="L197" s="884"/>
    </row>
    <row r="198" spans="1:12" ht="11.25" customHeight="1">
      <c r="A198" s="716"/>
      <c r="B198" s="885"/>
      <c r="C198" s="723"/>
      <c r="D198" s="723"/>
      <c r="E198" s="723"/>
      <c r="F198" s="723"/>
      <c r="G198" s="723"/>
      <c r="H198" s="723"/>
      <c r="I198" s="886"/>
      <c r="J198" s="1015"/>
      <c r="K198" s="888"/>
      <c r="L198" s="888"/>
    </row>
    <row r="199" spans="1:12" ht="17.25" customHeight="1">
      <c r="A199" s="716"/>
      <c r="B199" s="1693" t="s">
        <v>502</v>
      </c>
      <c r="C199" s="1419"/>
      <c r="D199" s="1419"/>
      <c r="E199" s="1419"/>
      <c r="F199" s="1419"/>
      <c r="G199" s="1419"/>
      <c r="H199" s="1419"/>
      <c r="I199" s="1419"/>
      <c r="J199" s="1539"/>
      <c r="K199" s="724"/>
      <c r="L199" s="724"/>
    </row>
    <row r="200" spans="1:12" ht="55.5" customHeight="1">
      <c r="A200" s="716"/>
      <c r="B200" s="1641" t="s">
        <v>503</v>
      </c>
      <c r="C200" s="1477"/>
      <c r="D200" s="1477"/>
      <c r="E200" s="1478"/>
      <c r="F200" s="889" t="s">
        <v>648</v>
      </c>
      <c r="G200" s="890"/>
      <c r="H200" s="891" t="s">
        <v>506</v>
      </c>
      <c r="I200" s="1641" t="s">
        <v>507</v>
      </c>
      <c r="J200" s="1478"/>
      <c r="K200" s="697"/>
      <c r="L200" s="697"/>
    </row>
    <row r="201" spans="1:12" ht="38.25" hidden="1" customHeight="1" outlineLevel="1">
      <c r="A201" s="716"/>
      <c r="B201" s="1577" t="s">
        <v>508</v>
      </c>
      <c r="C201" s="1477"/>
      <c r="D201" s="1477"/>
      <c r="E201" s="1478"/>
      <c r="F201" s="1694">
        <v>0</v>
      </c>
      <c r="G201" s="1478"/>
      <c r="H201" s="892">
        <f t="shared" ref="H201:H202" si="5">E201*F201</f>
        <v>0</v>
      </c>
      <c r="I201" s="1694">
        <f t="shared" ref="I201:I202" si="6">F201*H201</f>
        <v>0</v>
      </c>
      <c r="J201" s="1478"/>
      <c r="K201" s="770"/>
      <c r="L201" s="770"/>
    </row>
    <row r="202" spans="1:12" ht="38.25" hidden="1" customHeight="1" outlineLevel="1">
      <c r="A202" s="716"/>
      <c r="B202" s="1577" t="s">
        <v>509</v>
      </c>
      <c r="C202" s="1477"/>
      <c r="D202" s="1477"/>
      <c r="E202" s="1478"/>
      <c r="F202" s="1694">
        <v>0</v>
      </c>
      <c r="G202" s="1478"/>
      <c r="H202" s="893">
        <f t="shared" si="5"/>
        <v>0</v>
      </c>
      <c r="I202" s="1694">
        <f t="shared" si="6"/>
        <v>0</v>
      </c>
      <c r="J202" s="1478"/>
      <c r="K202" s="770"/>
      <c r="L202" s="770"/>
    </row>
    <row r="203" spans="1:12" ht="35" collapsed="1">
      <c r="A203" s="716"/>
      <c r="B203" s="1609" t="str">
        <f>B3</f>
        <v>3341-05_INSTRUTOR-de-ALUNOS_40hs</v>
      </c>
      <c r="C203" s="1477"/>
      <c r="D203" s="1477"/>
      <c r="E203" s="1478"/>
      <c r="F203" s="894">
        <f>J195</f>
        <v>5899.24</v>
      </c>
      <c r="G203" s="895">
        <f>I40</f>
        <v>1</v>
      </c>
      <c r="H203" s="896"/>
      <c r="I203" s="1695">
        <f>F203*G203</f>
        <v>5899.24</v>
      </c>
      <c r="J203" s="1478"/>
      <c r="K203" s="897" t="s">
        <v>510</v>
      </c>
      <c r="L203" s="897" t="str">
        <f>B3</f>
        <v>3341-05_INSTRUTOR-de-ALUNOS_40hs</v>
      </c>
    </row>
    <row r="204" spans="1:12" ht="38.25" hidden="1" customHeight="1" outlineLevel="1">
      <c r="A204" s="716"/>
      <c r="B204" s="1577" t="s">
        <v>511</v>
      </c>
      <c r="C204" s="1477"/>
      <c r="D204" s="1477"/>
      <c r="E204" s="1478"/>
      <c r="F204" s="1696">
        <v>0</v>
      </c>
      <c r="G204" s="1478"/>
      <c r="H204" s="898">
        <f t="shared" ref="H204:I204" si="7">E204*G204</f>
        <v>0</v>
      </c>
      <c r="I204" s="1696">
        <f t="shared" si="7"/>
        <v>0</v>
      </c>
      <c r="J204" s="1478"/>
      <c r="K204" s="770"/>
      <c r="L204" s="770"/>
    </row>
    <row r="205" spans="1:12" ht="38.25" hidden="1" customHeight="1" outlineLevel="1">
      <c r="A205" s="716"/>
      <c r="B205" s="1577" t="s">
        <v>512</v>
      </c>
      <c r="C205" s="1477"/>
      <c r="D205" s="1477"/>
      <c r="E205" s="1478"/>
      <c r="F205" s="1696">
        <v>0</v>
      </c>
      <c r="G205" s="1478"/>
      <c r="H205" s="898">
        <f t="shared" ref="H205:I205" si="8">E205*G205</f>
        <v>0</v>
      </c>
      <c r="I205" s="1696">
        <f t="shared" si="8"/>
        <v>0</v>
      </c>
      <c r="J205" s="1478"/>
      <c r="K205" s="770"/>
      <c r="L205" s="770"/>
    </row>
    <row r="206" spans="1:12" ht="38.25" hidden="1" customHeight="1" outlineLevel="1">
      <c r="A206" s="716"/>
      <c r="B206" s="1698" t="s">
        <v>740</v>
      </c>
      <c r="C206" s="1477"/>
      <c r="D206" s="1477"/>
      <c r="E206" s="1478"/>
      <c r="F206" s="1694">
        <v>0</v>
      </c>
      <c r="G206" s="1478"/>
      <c r="H206" s="898">
        <f t="shared" ref="H206:I206" si="9">E206*G206</f>
        <v>0</v>
      </c>
      <c r="I206" s="1696">
        <f t="shared" si="9"/>
        <v>0</v>
      </c>
      <c r="J206" s="1478"/>
      <c r="K206" s="770"/>
      <c r="L206" s="770"/>
    </row>
    <row r="207" spans="1:12" ht="33" customHeight="1" collapsed="1">
      <c r="A207" s="716"/>
      <c r="B207" s="1699" t="s">
        <v>514</v>
      </c>
      <c r="C207" s="1477"/>
      <c r="D207" s="1477"/>
      <c r="E207" s="1477"/>
      <c r="F207" s="1477"/>
      <c r="G207" s="1478"/>
      <c r="H207" s="899">
        <f>I17</f>
        <v>3</v>
      </c>
      <c r="I207" s="1697">
        <f>H207*I203</f>
        <v>17697.72</v>
      </c>
      <c r="J207" s="1478"/>
      <c r="K207" s="900"/>
      <c r="L207" s="900"/>
    </row>
    <row r="208" spans="1:12" ht="8.25" customHeight="1">
      <c r="A208" s="716"/>
      <c r="B208" s="1723"/>
      <c r="C208" s="1705"/>
      <c r="D208" s="1705"/>
      <c r="E208" s="1705"/>
      <c r="F208" s="1705"/>
      <c r="G208" s="1705"/>
      <c r="H208" s="1705"/>
      <c r="I208" s="1705"/>
      <c r="J208" s="1706"/>
      <c r="K208" s="777"/>
      <c r="L208" s="777"/>
    </row>
    <row r="209" spans="1:12" ht="13.5" customHeight="1">
      <c r="A209" s="716"/>
      <c r="B209" s="1703" t="s">
        <v>515</v>
      </c>
      <c r="C209" s="1575"/>
      <c r="D209" s="1575"/>
      <c r="E209" s="1575"/>
      <c r="F209" s="1575"/>
      <c r="G209" s="1575"/>
      <c r="H209" s="1575"/>
      <c r="I209" s="1575"/>
      <c r="J209" s="1608"/>
      <c r="K209" s="730"/>
      <c r="L209" s="730"/>
    </row>
    <row r="210" spans="1:12" ht="8.25" customHeight="1">
      <c r="A210" s="716"/>
      <c r="B210" s="1562"/>
      <c r="C210" s="1477"/>
      <c r="D210" s="1477"/>
      <c r="E210" s="1477"/>
      <c r="F210" s="1477"/>
      <c r="G210" s="1477"/>
      <c r="H210" s="1477"/>
      <c r="I210" s="1477"/>
      <c r="J210" s="1478"/>
      <c r="K210" s="723"/>
      <c r="L210" s="723"/>
    </row>
    <row r="211" spans="1:12" ht="20.25" customHeight="1">
      <c r="A211" s="716"/>
      <c r="B211" s="1563" t="s">
        <v>516</v>
      </c>
      <c r="C211" s="1477"/>
      <c r="D211" s="1477"/>
      <c r="E211" s="1477"/>
      <c r="F211" s="1477"/>
      <c r="G211" s="1478"/>
      <c r="H211" s="1564">
        <f>$I$207</f>
        <v>17697.72</v>
      </c>
      <c r="I211" s="1477"/>
      <c r="J211" s="1478"/>
      <c r="K211" s="901"/>
      <c r="L211" s="901"/>
    </row>
    <row r="212" spans="1:12" ht="8.25" customHeight="1">
      <c r="A212" s="716"/>
      <c r="B212" s="1565"/>
      <c r="C212" s="1528"/>
      <c r="D212" s="1528"/>
      <c r="E212" s="1528"/>
      <c r="F212" s="1528"/>
      <c r="G212" s="1528"/>
      <c r="H212" s="1528"/>
      <c r="I212" s="1528"/>
      <c r="J212" s="1566"/>
      <c r="K212" s="858"/>
      <c r="L212" s="858"/>
    </row>
    <row r="213" spans="1:12" ht="20.25" customHeight="1">
      <c r="A213" s="716"/>
      <c r="B213" s="1563" t="s">
        <v>517</v>
      </c>
      <c r="C213" s="1477"/>
      <c r="D213" s="1477"/>
      <c r="E213" s="1477"/>
      <c r="F213" s="1477"/>
      <c r="G213" s="1478"/>
      <c r="H213" s="1567">
        <f>$I$11</f>
        <v>30</v>
      </c>
      <c r="I213" s="1477"/>
      <c r="J213" s="1478"/>
      <c r="K213" s="902"/>
      <c r="L213" s="902"/>
    </row>
    <row r="214" spans="1:12" ht="8.25" customHeight="1">
      <c r="A214" s="716"/>
      <c r="B214" s="1568"/>
      <c r="C214" s="1477"/>
      <c r="D214" s="1477"/>
      <c r="E214" s="1477"/>
      <c r="F214" s="1477"/>
      <c r="G214" s="1477"/>
      <c r="H214" s="1477"/>
      <c r="I214" s="1477"/>
      <c r="J214" s="1478"/>
      <c r="K214" s="903"/>
      <c r="L214" s="903"/>
    </row>
    <row r="215" spans="1:12" ht="33.75" customHeight="1">
      <c r="A215" s="716"/>
      <c r="B215" s="1563" t="s">
        <v>741</v>
      </c>
      <c r="C215" s="1477"/>
      <c r="D215" s="1477"/>
      <c r="E215" s="1477"/>
      <c r="F215" s="1477"/>
      <c r="G215" s="1478"/>
      <c r="H215" s="1569">
        <f>ROUND(H211*H213,2)</f>
        <v>530931.6</v>
      </c>
      <c r="I215" s="1477"/>
      <c r="J215" s="1478"/>
      <c r="K215" s="901"/>
      <c r="L215" s="901"/>
    </row>
    <row r="216" spans="1:12" ht="7.5" customHeight="1">
      <c r="A216" s="716"/>
      <c r="B216" s="1570"/>
      <c r="C216" s="1477"/>
      <c r="D216" s="1477"/>
      <c r="E216" s="1477"/>
      <c r="F216" s="1477"/>
      <c r="G216" s="1477"/>
      <c r="H216" s="1477"/>
      <c r="I216" s="1477"/>
      <c r="J216" s="1478"/>
      <c r="K216" s="723"/>
      <c r="L216" s="723"/>
    </row>
    <row r="217" spans="1:12" ht="11.25" customHeight="1">
      <c r="A217" s="716"/>
      <c r="B217" s="716"/>
      <c r="C217" s="716"/>
      <c r="D217" s="716"/>
      <c r="E217" s="716"/>
      <c r="F217" s="716"/>
      <c r="G217" s="716"/>
      <c r="H217" s="716"/>
      <c r="I217" s="716"/>
      <c r="J217" s="1030"/>
      <c r="K217" s="718"/>
      <c r="L217" s="718"/>
    </row>
    <row r="218" spans="1:12" ht="18.75" customHeight="1">
      <c r="A218" s="908"/>
      <c r="B218" s="338"/>
      <c r="C218" s="10"/>
      <c r="D218" s="10"/>
      <c r="E218" s="10"/>
      <c r="F218" s="10"/>
      <c r="H218" s="10"/>
      <c r="I218" s="10"/>
      <c r="J218" s="1017"/>
      <c r="K218" s="904"/>
      <c r="L218" s="904"/>
    </row>
    <row r="219" spans="1:12" ht="32.25" hidden="1" customHeight="1" outlineLevel="1">
      <c r="A219" s="908"/>
      <c r="B219" s="905" t="s">
        <v>742</v>
      </c>
      <c r="C219" s="906"/>
      <c r="D219" s="906"/>
      <c r="E219" s="906"/>
      <c r="F219" s="906"/>
      <c r="G219" s="907" t="str">
        <f>B3</f>
        <v>3341-05_INSTRUTOR-de-ALUNOS_40hs</v>
      </c>
      <c r="H219" s="906"/>
      <c r="I219" s="906"/>
      <c r="J219" s="1018"/>
      <c r="K219" s="904"/>
      <c r="L219" s="904"/>
    </row>
    <row r="220" spans="1:12" ht="32.25" hidden="1" customHeight="1" outlineLevel="1">
      <c r="A220" s="908"/>
      <c r="B220" s="1571" t="s">
        <v>352</v>
      </c>
      <c r="C220" s="1477"/>
      <c r="D220" s="1477"/>
      <c r="E220" s="1477"/>
      <c r="F220" s="1477"/>
      <c r="G220" s="1477"/>
      <c r="H220" s="1477"/>
      <c r="I220" s="1477"/>
      <c r="J220" s="1478"/>
      <c r="K220" s="900"/>
      <c r="L220" s="900"/>
    </row>
    <row r="221" spans="1:12" ht="32.25" hidden="1" customHeight="1" outlineLevel="1">
      <c r="A221" s="908"/>
      <c r="B221" s="753">
        <v>1</v>
      </c>
      <c r="C221" s="1603" t="s">
        <v>520</v>
      </c>
      <c r="D221" s="1477"/>
      <c r="E221" s="1477"/>
      <c r="F221" s="1477"/>
      <c r="G221" s="1477"/>
      <c r="H221" s="1478"/>
      <c r="I221" s="754" t="s">
        <v>354</v>
      </c>
      <c r="J221" s="992" t="s">
        <v>355</v>
      </c>
      <c r="K221" s="900"/>
      <c r="L221" s="900"/>
    </row>
    <row r="222" spans="1:12" ht="36.75" hidden="1" customHeight="1" outlineLevel="1">
      <c r="A222" s="908"/>
      <c r="B222" s="696" t="s">
        <v>360</v>
      </c>
      <c r="C222" s="1573" t="s">
        <v>743</v>
      </c>
      <c r="D222" s="1477"/>
      <c r="E222" s="1478"/>
      <c r="F222" s="763" t="s">
        <v>362</v>
      </c>
      <c r="G222" s="909">
        <v>0</v>
      </c>
      <c r="H222" s="763" t="s">
        <v>522</v>
      </c>
      <c r="I222" s="765">
        <f>I33*0.2</f>
        <v>2.6280000000000001</v>
      </c>
      <c r="J222" s="766">
        <f t="shared" ref="J222:J224" si="10">G222*I222</f>
        <v>0</v>
      </c>
      <c r="K222" s="900"/>
      <c r="L222" s="910"/>
    </row>
    <row r="223" spans="1:12" ht="36.75" hidden="1" customHeight="1" outlineLevel="1">
      <c r="A223" s="908"/>
      <c r="B223" s="696" t="s">
        <v>368</v>
      </c>
      <c r="C223" s="1574" t="s">
        <v>744</v>
      </c>
      <c r="D223" s="1575"/>
      <c r="E223" s="1575"/>
      <c r="F223" s="763" t="s">
        <v>370</v>
      </c>
      <c r="G223" s="909">
        <v>0</v>
      </c>
      <c r="H223" s="763" t="s">
        <v>524</v>
      </c>
      <c r="I223" s="765">
        <f>I33*1.5</f>
        <v>19.709999999999997</v>
      </c>
      <c r="J223" s="766">
        <f t="shared" si="10"/>
        <v>0</v>
      </c>
      <c r="K223" s="910"/>
      <c r="L223" s="910"/>
    </row>
    <row r="224" spans="1:12" ht="36.75" hidden="1" customHeight="1" outlineLevel="1">
      <c r="A224" s="908"/>
      <c r="B224" s="696" t="s">
        <v>372</v>
      </c>
      <c r="C224" s="1574" t="s">
        <v>745</v>
      </c>
      <c r="D224" s="1575"/>
      <c r="E224" s="1575"/>
      <c r="F224" s="763" t="s">
        <v>374</v>
      </c>
      <c r="G224" s="909">
        <v>0</v>
      </c>
      <c r="H224" s="763" t="s">
        <v>526</v>
      </c>
      <c r="I224" s="765">
        <f>I33*2</f>
        <v>26.279999999999998</v>
      </c>
      <c r="J224" s="767">
        <f t="shared" si="10"/>
        <v>0</v>
      </c>
      <c r="K224" s="910"/>
      <c r="L224" s="910"/>
    </row>
    <row r="225" spans="1:12" ht="42" hidden="1" customHeight="1" outlineLevel="1">
      <c r="A225" s="908"/>
      <c r="B225" s="696" t="s">
        <v>376</v>
      </c>
      <c r="C225" s="1576" t="s">
        <v>746</v>
      </c>
      <c r="D225" s="1419"/>
      <c r="E225" s="1419"/>
      <c r="F225" s="763" t="s">
        <v>378</v>
      </c>
      <c r="G225" s="768">
        <f>SUM(G222:G224)*0.2</f>
        <v>0</v>
      </c>
      <c r="H225" s="763"/>
      <c r="I225" s="765"/>
      <c r="J225" s="767">
        <f>ROUND(SUM(J222:J224)*0.2,2)</f>
        <v>0</v>
      </c>
      <c r="K225" s="910"/>
      <c r="L225" s="910"/>
    </row>
    <row r="226" spans="1:12" ht="34.5" hidden="1" customHeight="1" outlineLevel="1">
      <c r="A226" s="908"/>
      <c r="B226" s="696" t="s">
        <v>379</v>
      </c>
      <c r="C226" s="1577" t="s">
        <v>380</v>
      </c>
      <c r="D226" s="1477"/>
      <c r="E226" s="1477"/>
      <c r="F226" s="1477"/>
      <c r="G226" s="1477"/>
      <c r="H226" s="1477"/>
      <c r="I226" s="1478"/>
      <c r="J226" s="769" t="s">
        <v>325</v>
      </c>
      <c r="K226" s="900"/>
      <c r="L226" s="900"/>
    </row>
    <row r="227" spans="1:12" ht="48.75" hidden="1" customHeight="1" outlineLevel="1">
      <c r="A227" s="908"/>
      <c r="B227" s="1578" t="s">
        <v>528</v>
      </c>
      <c r="C227" s="1477"/>
      <c r="D227" s="1477"/>
      <c r="E227" s="1477"/>
      <c r="F227" s="1477"/>
      <c r="G227" s="1477"/>
      <c r="H227" s="1477"/>
      <c r="I227" s="1478"/>
      <c r="J227" s="775">
        <f>SUM(J222:J226)</f>
        <v>0</v>
      </c>
      <c r="K227" s="900"/>
      <c r="L227" s="900"/>
    </row>
    <row r="228" spans="1:12" ht="32.25" hidden="1" customHeight="1" outlineLevel="1">
      <c r="A228" s="908"/>
      <c r="B228" s="908"/>
      <c r="C228" s="908"/>
      <c r="D228" s="908"/>
      <c r="E228" s="908"/>
      <c r="F228" s="908"/>
      <c r="G228" s="908"/>
      <c r="H228" s="908"/>
      <c r="I228" s="908"/>
      <c r="J228" s="1016"/>
      <c r="K228" s="900"/>
      <c r="L228" s="900"/>
    </row>
    <row r="229" spans="1:12" ht="32.25" hidden="1" customHeight="1" outlineLevel="1">
      <c r="A229" s="908"/>
      <c r="B229" s="1579" t="s">
        <v>386</v>
      </c>
      <c r="C229" s="1477"/>
      <c r="D229" s="1477"/>
      <c r="E229" s="1477"/>
      <c r="F229" s="1477"/>
      <c r="G229" s="1477"/>
      <c r="H229" s="1477"/>
      <c r="I229" s="1477"/>
      <c r="J229" s="1478"/>
      <c r="K229" s="900"/>
      <c r="L229" s="900"/>
    </row>
    <row r="230" spans="1:12" ht="32.25" hidden="1" customHeight="1" outlineLevel="1">
      <c r="A230" s="908"/>
      <c r="B230" s="1580" t="s">
        <v>529</v>
      </c>
      <c r="C230" s="1477"/>
      <c r="D230" s="1477"/>
      <c r="E230" s="1477"/>
      <c r="F230" s="1477"/>
      <c r="G230" s="1477"/>
      <c r="H230" s="1477"/>
      <c r="I230" s="1477"/>
      <c r="J230" s="1478"/>
      <c r="K230" s="900"/>
      <c r="L230" s="900"/>
    </row>
    <row r="231" spans="1:12" ht="42" hidden="1" customHeight="1" outlineLevel="1">
      <c r="A231" s="908"/>
      <c r="B231" s="911">
        <v>45659</v>
      </c>
      <c r="C231" s="1581" t="s">
        <v>530</v>
      </c>
      <c r="D231" s="1477"/>
      <c r="E231" s="1477"/>
      <c r="F231" s="1477"/>
      <c r="G231" s="1477"/>
      <c r="H231" s="1477"/>
      <c r="I231" s="1478"/>
      <c r="J231" s="1019" t="s">
        <v>390</v>
      </c>
      <c r="K231" s="900"/>
      <c r="L231" s="900"/>
    </row>
    <row r="232" spans="1:12" ht="27.75" hidden="1" customHeight="1" outlineLevel="1">
      <c r="A232" s="908"/>
      <c r="B232" s="912" t="s">
        <v>312</v>
      </c>
      <c r="C232" s="1553" t="s">
        <v>531</v>
      </c>
      <c r="D232" s="1477"/>
      <c r="E232" s="1477"/>
      <c r="F232" s="1477"/>
      <c r="G232" s="1477"/>
      <c r="H232" s="1478"/>
      <c r="I232" s="913">
        <f t="shared" ref="I232:I233" si="11">I70</f>
        <v>8.3299999999999999E-2</v>
      </c>
      <c r="J232" s="766">
        <f>J227*I232</f>
        <v>0</v>
      </c>
      <c r="K232" s="900"/>
      <c r="L232" s="900"/>
    </row>
    <row r="233" spans="1:12" ht="51" hidden="1" customHeight="1" outlineLevel="1">
      <c r="A233" s="908"/>
      <c r="B233" s="912" t="s">
        <v>314</v>
      </c>
      <c r="C233" s="1582" t="s">
        <v>747</v>
      </c>
      <c r="D233" s="1477"/>
      <c r="E233" s="1477"/>
      <c r="F233" s="1477"/>
      <c r="G233" s="1477"/>
      <c r="H233" s="1478"/>
      <c r="I233" s="913">
        <f t="shared" si="11"/>
        <v>3.0249999999999999E-2</v>
      </c>
      <c r="J233" s="766">
        <f>J227*I233</f>
        <v>0</v>
      </c>
      <c r="K233" s="900"/>
      <c r="L233" s="900"/>
    </row>
    <row r="234" spans="1:12" ht="32.25" hidden="1" customHeight="1" outlineLevel="1">
      <c r="A234" s="908"/>
      <c r="B234" s="1583" t="s">
        <v>393</v>
      </c>
      <c r="C234" s="1477"/>
      <c r="D234" s="1477"/>
      <c r="E234" s="1477"/>
      <c r="F234" s="1477"/>
      <c r="G234" s="1477"/>
      <c r="H234" s="1477"/>
      <c r="I234" s="1478"/>
      <c r="J234" s="775">
        <f>SUM(J232:J233)</f>
        <v>0</v>
      </c>
      <c r="K234" s="900"/>
      <c r="L234" s="900"/>
    </row>
    <row r="235" spans="1:12" ht="42.75" hidden="1" customHeight="1" outlineLevel="1">
      <c r="A235" s="908"/>
      <c r="B235" s="908"/>
      <c r="C235" s="908"/>
      <c r="D235" s="908"/>
      <c r="E235" s="908"/>
      <c r="F235" s="908"/>
      <c r="G235" s="908"/>
      <c r="H235" s="908"/>
      <c r="I235" s="908"/>
      <c r="J235" s="1016"/>
      <c r="K235" s="900"/>
      <c r="L235" s="900"/>
    </row>
    <row r="236" spans="1:12" ht="15.75" hidden="1" customHeight="1" outlineLevel="1">
      <c r="A236" s="908"/>
      <c r="B236" s="791" t="s">
        <v>396</v>
      </c>
      <c r="C236" s="1664" t="s">
        <v>748</v>
      </c>
      <c r="D236" s="1477"/>
      <c r="E236" s="1477"/>
      <c r="F236" s="1477"/>
      <c r="G236" s="1477"/>
      <c r="H236" s="1478"/>
      <c r="I236" s="792" t="s">
        <v>354</v>
      </c>
      <c r="J236" s="997" t="s">
        <v>398</v>
      </c>
      <c r="K236" s="900"/>
      <c r="L236" s="900"/>
    </row>
    <row r="237" spans="1:12" ht="32.25" hidden="1" customHeight="1" outlineLevel="1">
      <c r="A237" s="908"/>
      <c r="B237" s="794" t="s">
        <v>312</v>
      </c>
      <c r="C237" s="1577" t="s">
        <v>399</v>
      </c>
      <c r="D237" s="1477"/>
      <c r="E237" s="1477"/>
      <c r="F237" s="1477"/>
      <c r="G237" s="1477"/>
      <c r="H237" s="1478"/>
      <c r="I237" s="795">
        <f t="shared" ref="I237:I238" si="12">I78</f>
        <v>0.2</v>
      </c>
      <c r="J237" s="796">
        <f>ROUND((J227+J234)*I237,2)</f>
        <v>0</v>
      </c>
      <c r="K237" s="900"/>
      <c r="L237" s="900"/>
    </row>
    <row r="238" spans="1:12" ht="32.25" hidden="1" customHeight="1" outlineLevel="1">
      <c r="A238" s="908"/>
      <c r="B238" s="794" t="s">
        <v>314</v>
      </c>
      <c r="C238" s="1577" t="s">
        <v>400</v>
      </c>
      <c r="D238" s="1477"/>
      <c r="E238" s="1477"/>
      <c r="F238" s="1477"/>
      <c r="G238" s="1477"/>
      <c r="H238" s="1478"/>
      <c r="I238" s="795">
        <f t="shared" si="12"/>
        <v>2.5000000000000001E-2</v>
      </c>
      <c r="J238" s="796">
        <f>ROUND((J227+J234)*I238,2)</f>
        <v>0</v>
      </c>
      <c r="K238" s="900"/>
      <c r="L238" s="900"/>
    </row>
    <row r="239" spans="1:12" ht="32.25" hidden="1" customHeight="1" outlineLevel="1">
      <c r="A239" s="908"/>
      <c r="B239" s="794" t="s">
        <v>316</v>
      </c>
      <c r="C239" s="1577" t="s">
        <v>749</v>
      </c>
      <c r="D239" s="1478"/>
      <c r="E239" s="735" t="s">
        <v>402</v>
      </c>
      <c r="F239" s="797">
        <f>F80</f>
        <v>0.03</v>
      </c>
      <c r="G239" s="735" t="s">
        <v>403</v>
      </c>
      <c r="H239" s="798">
        <f t="shared" ref="H239:I239" si="13">H80</f>
        <v>1</v>
      </c>
      <c r="I239" s="795">
        <f t="shared" si="13"/>
        <v>0.03</v>
      </c>
      <c r="J239" s="796">
        <f>ROUND((J227+J234)*I239,2)</f>
        <v>0</v>
      </c>
      <c r="K239" s="900"/>
      <c r="L239" s="900"/>
    </row>
    <row r="240" spans="1:12" ht="32.25" hidden="1" customHeight="1" outlineLevel="1">
      <c r="A240" s="908"/>
      <c r="B240" s="794" t="s">
        <v>318</v>
      </c>
      <c r="C240" s="1577" t="s">
        <v>404</v>
      </c>
      <c r="D240" s="1477"/>
      <c r="E240" s="1477"/>
      <c r="F240" s="1477"/>
      <c r="G240" s="1477"/>
      <c r="H240" s="1478"/>
      <c r="I240" s="795">
        <f t="shared" ref="I240:I244" si="14">I81</f>
        <v>1.4999999999999999E-2</v>
      </c>
      <c r="J240" s="796">
        <f>ROUND((J227+J234)*I240,2)</f>
        <v>0</v>
      </c>
      <c r="K240" s="900"/>
      <c r="L240" s="900"/>
    </row>
    <row r="241" spans="1:12" ht="34.5" hidden="1" customHeight="1" outlineLevel="1">
      <c r="A241" s="908"/>
      <c r="B241" s="794" t="s">
        <v>360</v>
      </c>
      <c r="C241" s="1577" t="s">
        <v>405</v>
      </c>
      <c r="D241" s="1477"/>
      <c r="E241" s="1477"/>
      <c r="F241" s="1477"/>
      <c r="G241" s="1477"/>
      <c r="H241" s="1478"/>
      <c r="I241" s="795">
        <f t="shared" si="14"/>
        <v>0.01</v>
      </c>
      <c r="J241" s="796">
        <f>ROUND((J227+J234)*I241,2)</f>
        <v>0</v>
      </c>
      <c r="K241" s="900"/>
      <c r="L241" s="900"/>
    </row>
    <row r="242" spans="1:12" ht="50.25" hidden="1" customHeight="1" outlineLevel="1">
      <c r="A242" s="908"/>
      <c r="B242" s="794" t="s">
        <v>364</v>
      </c>
      <c r="C242" s="1577" t="s">
        <v>406</v>
      </c>
      <c r="D242" s="1477"/>
      <c r="E242" s="1477"/>
      <c r="F242" s="1477"/>
      <c r="G242" s="1477"/>
      <c r="H242" s="1478"/>
      <c r="I242" s="795">
        <f t="shared" si="14"/>
        <v>6.0000000000000001E-3</v>
      </c>
      <c r="J242" s="796">
        <f>ROUND((J227+J234)*I242,2)</f>
        <v>0</v>
      </c>
      <c r="K242" s="900"/>
      <c r="L242" s="900"/>
    </row>
    <row r="243" spans="1:12" ht="15.75" hidden="1" customHeight="1" outlineLevel="1">
      <c r="A243" s="908"/>
      <c r="B243" s="794" t="s">
        <v>366</v>
      </c>
      <c r="C243" s="1577" t="s">
        <v>407</v>
      </c>
      <c r="D243" s="1477"/>
      <c r="E243" s="1477"/>
      <c r="F243" s="1477"/>
      <c r="G243" s="1477"/>
      <c r="H243" s="1478"/>
      <c r="I243" s="795">
        <f t="shared" si="14"/>
        <v>2E-3</v>
      </c>
      <c r="J243" s="796">
        <f>ROUND((J227+J234)*I243,2)</f>
        <v>0</v>
      </c>
      <c r="K243" s="900"/>
      <c r="L243" s="900"/>
    </row>
    <row r="244" spans="1:12" ht="15.75" hidden="1" customHeight="1" outlineLevel="1">
      <c r="A244" s="908"/>
      <c r="B244" s="794" t="s">
        <v>368</v>
      </c>
      <c r="C244" s="1577" t="s">
        <v>408</v>
      </c>
      <c r="D244" s="1477"/>
      <c r="E244" s="1477"/>
      <c r="F244" s="1477"/>
      <c r="G244" s="1477"/>
      <c r="H244" s="1478"/>
      <c r="I244" s="795">
        <f t="shared" si="14"/>
        <v>0.08</v>
      </c>
      <c r="J244" s="796">
        <f>ROUND((J227+J234)*I244,2)</f>
        <v>0</v>
      </c>
      <c r="K244" s="900"/>
      <c r="L244" s="900"/>
    </row>
    <row r="245" spans="1:12" ht="15.75" hidden="1" customHeight="1" outlineLevel="1">
      <c r="A245" s="908"/>
      <c r="B245" s="1585" t="s">
        <v>393</v>
      </c>
      <c r="C245" s="1477"/>
      <c r="D245" s="1477"/>
      <c r="E245" s="1477"/>
      <c r="F245" s="1477"/>
      <c r="G245" s="1477"/>
      <c r="H245" s="1478"/>
      <c r="I245" s="800">
        <f t="shared" ref="I245:J245" si="15">SUM(I237:I244)</f>
        <v>0.36800000000000005</v>
      </c>
      <c r="J245" s="775">
        <f t="shared" si="15"/>
        <v>0</v>
      </c>
      <c r="K245" s="900"/>
      <c r="L245" s="900"/>
    </row>
    <row r="246" spans="1:12" ht="15.75" hidden="1" customHeight="1" outlineLevel="1">
      <c r="A246" s="908"/>
      <c r="B246" s="908"/>
      <c r="C246" s="908"/>
      <c r="D246" s="908"/>
      <c r="E246" s="908"/>
      <c r="F246" s="908"/>
      <c r="G246" s="908"/>
      <c r="H246" s="908"/>
      <c r="I246" s="908"/>
      <c r="J246" s="1016"/>
      <c r="K246" s="900"/>
      <c r="L246" s="900"/>
    </row>
    <row r="247" spans="1:12" ht="15.75" hidden="1" customHeight="1" outlineLevel="1">
      <c r="A247" s="908"/>
      <c r="B247" s="1579" t="s">
        <v>750</v>
      </c>
      <c r="C247" s="1477"/>
      <c r="D247" s="1477"/>
      <c r="E247" s="1477"/>
      <c r="F247" s="1477"/>
      <c r="G247" s="1477"/>
      <c r="H247" s="1477"/>
      <c r="I247" s="1477"/>
      <c r="J247" s="1478"/>
      <c r="K247" s="900"/>
      <c r="L247" s="900"/>
    </row>
    <row r="248" spans="1:12" ht="15.75" hidden="1" customHeight="1" outlineLevel="1">
      <c r="A248" s="908"/>
      <c r="B248" s="914">
        <v>3</v>
      </c>
      <c r="C248" s="1586" t="s">
        <v>435</v>
      </c>
      <c r="D248" s="1477"/>
      <c r="E248" s="1477"/>
      <c r="F248" s="1477"/>
      <c r="G248" s="1477"/>
      <c r="H248" s="1477"/>
      <c r="I248" s="1478"/>
      <c r="J248" s="1020" t="s">
        <v>390</v>
      </c>
      <c r="K248" s="900"/>
      <c r="L248" s="900"/>
    </row>
    <row r="249" spans="1:12" ht="33" hidden="1" customHeight="1" outlineLevel="1">
      <c r="A249" s="908"/>
      <c r="B249" s="915" t="s">
        <v>312</v>
      </c>
      <c r="C249" s="1587" t="s">
        <v>536</v>
      </c>
      <c r="D249" s="1477"/>
      <c r="E249" s="1477"/>
      <c r="F249" s="1477"/>
      <c r="G249" s="1477"/>
      <c r="H249" s="1477"/>
      <c r="I249" s="1478"/>
      <c r="J249" s="796">
        <f>ROUND((J227/12)+(J234/12),0)*1*0.05</f>
        <v>0</v>
      </c>
      <c r="K249" s="900"/>
      <c r="L249" s="900"/>
    </row>
    <row r="250" spans="1:12" ht="15.75" hidden="1" customHeight="1" outlineLevel="1">
      <c r="A250" s="908"/>
      <c r="B250" s="915" t="s">
        <v>314</v>
      </c>
      <c r="C250" s="1587" t="s">
        <v>437</v>
      </c>
      <c r="D250" s="1477"/>
      <c r="E250" s="1477"/>
      <c r="F250" s="1477"/>
      <c r="G250" s="1477"/>
      <c r="H250" s="1477"/>
      <c r="I250" s="1478"/>
      <c r="J250" s="796">
        <f>(J249*I244)</f>
        <v>0</v>
      </c>
      <c r="K250" s="900"/>
      <c r="L250" s="900"/>
    </row>
    <row r="251" spans="1:12" ht="60" hidden="1" customHeight="1" outlineLevel="1">
      <c r="A251" s="908"/>
      <c r="B251" s="915" t="s">
        <v>316</v>
      </c>
      <c r="C251" s="1588" t="s">
        <v>751</v>
      </c>
      <c r="D251" s="1477"/>
      <c r="E251" s="1477"/>
      <c r="F251" s="1477"/>
      <c r="G251" s="1477"/>
      <c r="H251" s="1477"/>
      <c r="I251" s="916" t="s">
        <v>128</v>
      </c>
      <c r="J251" s="796">
        <f>ROUND(((7/30)/$I$11)*$J$227*1,2)</f>
        <v>0</v>
      </c>
      <c r="K251" s="900"/>
      <c r="L251" s="900"/>
    </row>
    <row r="252" spans="1:12" ht="21" hidden="1" customHeight="1" outlineLevel="1">
      <c r="A252" s="908"/>
      <c r="B252" s="915" t="s">
        <v>318</v>
      </c>
      <c r="C252" s="1587" t="s">
        <v>439</v>
      </c>
      <c r="D252" s="1477"/>
      <c r="E252" s="1477"/>
      <c r="F252" s="1477"/>
      <c r="G252" s="1477"/>
      <c r="H252" s="1477"/>
      <c r="I252" s="1478"/>
      <c r="J252" s="796">
        <f>I245*J251</f>
        <v>0</v>
      </c>
      <c r="K252" s="900"/>
      <c r="L252" s="900"/>
    </row>
    <row r="253" spans="1:12" ht="30.75" hidden="1" customHeight="1" outlineLevel="1">
      <c r="A253" s="908"/>
      <c r="B253" s="915" t="s">
        <v>360</v>
      </c>
      <c r="C253" s="1587" t="s">
        <v>538</v>
      </c>
      <c r="D253" s="1477"/>
      <c r="E253" s="1477"/>
      <c r="F253" s="1477"/>
      <c r="G253" s="1477"/>
      <c r="H253" s="1478"/>
      <c r="I253" s="917">
        <f>I123</f>
        <v>0.04</v>
      </c>
      <c r="J253" s="796">
        <f>I253*J227</f>
        <v>0</v>
      </c>
      <c r="K253" s="900"/>
      <c r="L253" s="900"/>
    </row>
    <row r="254" spans="1:12" ht="21" hidden="1" customHeight="1" outlineLevel="1">
      <c r="A254" s="908"/>
      <c r="B254" s="1583" t="s">
        <v>441</v>
      </c>
      <c r="C254" s="1477"/>
      <c r="D254" s="1477"/>
      <c r="E254" s="1477"/>
      <c r="F254" s="1477"/>
      <c r="G254" s="1477"/>
      <c r="H254" s="1477"/>
      <c r="I254" s="1478"/>
      <c r="J254" s="775">
        <f>SUM(J249:J253)</f>
        <v>0</v>
      </c>
      <c r="K254" s="900"/>
      <c r="L254" s="900"/>
    </row>
    <row r="255" spans="1:12" ht="21" hidden="1" customHeight="1" outlineLevel="1">
      <c r="A255" s="908"/>
      <c r="B255" s="908"/>
      <c r="C255" s="908"/>
      <c r="D255" s="908"/>
      <c r="E255" s="908"/>
      <c r="F255" s="908"/>
      <c r="G255" s="908"/>
      <c r="H255" s="908"/>
      <c r="I255" s="908"/>
      <c r="J255" s="1016"/>
      <c r="K255" s="900"/>
      <c r="L255" s="900"/>
    </row>
    <row r="256" spans="1:12" ht="41.25" hidden="1" customHeight="1" outlineLevel="1">
      <c r="A256" s="908"/>
      <c r="B256" s="1553" t="s">
        <v>539</v>
      </c>
      <c r="C256" s="1477"/>
      <c r="D256" s="1477"/>
      <c r="E256" s="1477"/>
      <c r="F256" s="1477"/>
      <c r="G256" s="1477"/>
      <c r="H256" s="1477"/>
      <c r="I256" s="1477"/>
      <c r="J256" s="1478"/>
      <c r="K256" s="900"/>
      <c r="L256" s="900"/>
    </row>
    <row r="257" spans="1:12" ht="29.25" hidden="1" customHeight="1" outlineLevel="1">
      <c r="A257" s="908"/>
      <c r="B257" s="832" t="s">
        <v>540</v>
      </c>
      <c r="C257" s="833">
        <f>J227</f>
        <v>0</v>
      </c>
      <c r="D257" s="918" t="s">
        <v>446</v>
      </c>
      <c r="E257" s="832" t="s">
        <v>541</v>
      </c>
      <c r="F257" s="833">
        <f>J234+J245</f>
        <v>0</v>
      </c>
      <c r="G257" s="918" t="s">
        <v>446</v>
      </c>
      <c r="H257" s="832" t="s">
        <v>448</v>
      </c>
      <c r="I257" s="833">
        <f>J254</f>
        <v>0</v>
      </c>
      <c r="J257" s="835">
        <f>C257+F257+I257</f>
        <v>0</v>
      </c>
      <c r="K257" s="900"/>
      <c r="L257" s="900"/>
    </row>
    <row r="258" spans="1:12" ht="26.25" hidden="1" customHeight="1" outlineLevel="1">
      <c r="A258" s="908"/>
      <c r="B258" s="908"/>
      <c r="C258" s="908"/>
      <c r="D258" s="908"/>
      <c r="E258" s="908"/>
      <c r="F258" s="908"/>
      <c r="G258" s="908"/>
      <c r="H258" s="908"/>
      <c r="I258" s="908"/>
      <c r="J258" s="1016"/>
      <c r="K258" s="900"/>
      <c r="L258" s="900"/>
    </row>
    <row r="259" spans="1:12" ht="36.75" hidden="1" customHeight="1" outlineLevel="1">
      <c r="A259" s="908"/>
      <c r="B259" s="1554" t="s">
        <v>449</v>
      </c>
      <c r="C259" s="1477"/>
      <c r="D259" s="1477"/>
      <c r="E259" s="1477"/>
      <c r="F259" s="1477"/>
      <c r="G259" s="1477"/>
      <c r="H259" s="1477"/>
      <c r="I259" s="1477"/>
      <c r="J259" s="1478"/>
      <c r="K259" s="900"/>
      <c r="L259" s="900"/>
    </row>
    <row r="260" spans="1:12" ht="15.75" hidden="1" customHeight="1" outlineLevel="1">
      <c r="A260" s="908"/>
      <c r="B260" s="805" t="s">
        <v>450</v>
      </c>
      <c r="C260" s="1555" t="s">
        <v>752</v>
      </c>
      <c r="D260" s="1477"/>
      <c r="E260" s="1477"/>
      <c r="F260" s="1477"/>
      <c r="G260" s="1477"/>
      <c r="H260" s="1477"/>
      <c r="I260" s="1478"/>
      <c r="J260" s="1021" t="s">
        <v>390</v>
      </c>
      <c r="K260" s="900"/>
      <c r="L260" s="900"/>
    </row>
    <row r="261" spans="1:12" ht="26.25" hidden="1" customHeight="1" outlineLevel="1">
      <c r="A261" s="908"/>
      <c r="B261" s="919" t="s">
        <v>312</v>
      </c>
      <c r="C261" s="1556" t="s">
        <v>753</v>
      </c>
      <c r="D261" s="1477"/>
      <c r="E261" s="1477"/>
      <c r="F261" s="1477"/>
      <c r="G261" s="1477"/>
      <c r="H261" s="840">
        <f t="shared" ref="H261:I261" si="16">H133</f>
        <v>9.0749999999999997E-2</v>
      </c>
      <c r="I261" s="920">
        <f t="shared" si="16"/>
        <v>0.36800000000000005</v>
      </c>
      <c r="J261" s="1022">
        <f>IF('1-ABA-DE-CARREGAMENTO'!E81="S",(ROUND(H261*J227,2)*(1+I261)),IF('1-ABA-DE-CARREGAMENTO'!E81="N",0,"INFORME S ou N"))</f>
        <v>0</v>
      </c>
      <c r="K261" s="900"/>
      <c r="L261" s="900"/>
    </row>
    <row r="262" spans="1:12" ht="15.75" hidden="1" customHeight="1" outlineLevel="1">
      <c r="A262" s="908"/>
      <c r="B262" s="919" t="s">
        <v>314</v>
      </c>
      <c r="C262" s="1556" t="s">
        <v>754</v>
      </c>
      <c r="D262" s="1477"/>
      <c r="E262" s="1477"/>
      <c r="F262" s="1477"/>
      <c r="G262" s="1477"/>
      <c r="H262" s="1477"/>
      <c r="I262" s="1478"/>
      <c r="J262" s="922">
        <f>ROUND((1/30)/12*(J257),2)</f>
        <v>0</v>
      </c>
      <c r="K262" s="900"/>
      <c r="L262" s="900"/>
    </row>
    <row r="263" spans="1:12" ht="37.5" hidden="1" customHeight="1" outlineLevel="1">
      <c r="A263" s="908"/>
      <c r="B263" s="919" t="s">
        <v>316</v>
      </c>
      <c r="C263" s="1556" t="s">
        <v>755</v>
      </c>
      <c r="D263" s="1477"/>
      <c r="E263" s="1477"/>
      <c r="F263" s="1477"/>
      <c r="G263" s="1477"/>
      <c r="H263" s="1477"/>
      <c r="I263" s="1478"/>
      <c r="J263" s="923">
        <f>ROUND((5/30)/12*0.015*(J257),2)</f>
        <v>0</v>
      </c>
      <c r="K263" s="900"/>
      <c r="L263" s="900"/>
    </row>
    <row r="264" spans="1:12" ht="29.25" hidden="1" customHeight="1" outlineLevel="1">
      <c r="A264" s="908"/>
      <c r="B264" s="919" t="s">
        <v>318</v>
      </c>
      <c r="C264" s="1556" t="s">
        <v>756</v>
      </c>
      <c r="D264" s="1477"/>
      <c r="E264" s="1477"/>
      <c r="F264" s="1477"/>
      <c r="G264" s="1477"/>
      <c r="H264" s="1477"/>
      <c r="I264" s="1478"/>
      <c r="J264" s="923">
        <f>ROUND(((15/30)/12)*0.0078*(J257),2)</f>
        <v>0</v>
      </c>
      <c r="K264" s="900"/>
      <c r="L264" s="900"/>
    </row>
    <row r="265" spans="1:12" ht="29.25" hidden="1" customHeight="1" outlineLevel="1">
      <c r="A265" s="908"/>
      <c r="B265" s="924" t="s">
        <v>360</v>
      </c>
      <c r="C265" s="1557" t="s">
        <v>757</v>
      </c>
      <c r="D265" s="1477"/>
      <c r="E265" s="1477"/>
      <c r="F265" s="1477"/>
      <c r="G265" s="1477"/>
      <c r="H265" s="1477"/>
      <c r="I265" s="1478"/>
      <c r="J265" s="925">
        <f>ROUND((((C257+C257/3)+(I245)*(C257+C257/3))*(4/12))/12,0)*0.02+((J254*4)/12)*0.02</f>
        <v>0</v>
      </c>
      <c r="K265" s="900"/>
      <c r="L265" s="900"/>
    </row>
    <row r="266" spans="1:12" ht="66" hidden="1" customHeight="1" outlineLevel="1">
      <c r="A266" s="908"/>
      <c r="B266" s="919" t="s">
        <v>364</v>
      </c>
      <c r="C266" s="1556" t="s">
        <v>758</v>
      </c>
      <c r="D266" s="1477"/>
      <c r="E266" s="1477"/>
      <c r="F266" s="1477"/>
      <c r="G266" s="1477"/>
      <c r="H266" s="1477"/>
      <c r="I266" s="1478"/>
      <c r="J266" s="926">
        <f>ROUND(((3/30)/12)*(J257),2)</f>
        <v>0</v>
      </c>
      <c r="K266" s="900"/>
      <c r="L266" s="900"/>
    </row>
    <row r="267" spans="1:12" ht="29.25" hidden="1" customHeight="1" outlineLevel="1">
      <c r="A267" s="908"/>
      <c r="B267" s="1558" t="s">
        <v>393</v>
      </c>
      <c r="C267" s="1477"/>
      <c r="D267" s="1477"/>
      <c r="E267" s="1477"/>
      <c r="F267" s="1477"/>
      <c r="G267" s="1477"/>
      <c r="H267" s="1477"/>
      <c r="I267" s="1478"/>
      <c r="J267" s="927">
        <f>SUM(J261:J266)</f>
        <v>0</v>
      </c>
      <c r="K267" s="900"/>
      <c r="L267" s="900"/>
    </row>
    <row r="268" spans="1:12" ht="29.25" hidden="1" customHeight="1" outlineLevel="1">
      <c r="A268" s="908"/>
      <c r="B268" s="908"/>
      <c r="C268" s="908"/>
      <c r="D268" s="908"/>
      <c r="E268" s="908"/>
      <c r="F268" s="908"/>
      <c r="G268" s="908"/>
      <c r="H268" s="908"/>
      <c r="I268" s="908"/>
      <c r="J268" s="1016"/>
      <c r="K268" s="900"/>
      <c r="L268" s="900"/>
    </row>
    <row r="269" spans="1:12" ht="15.75" hidden="1" customHeight="1" outlineLevel="1">
      <c r="A269" s="908"/>
      <c r="B269" s="1559" t="s">
        <v>471</v>
      </c>
      <c r="C269" s="1477"/>
      <c r="D269" s="1477"/>
      <c r="E269" s="1477"/>
      <c r="F269" s="1477"/>
      <c r="G269" s="1477"/>
      <c r="H269" s="1477"/>
      <c r="I269" s="1477"/>
      <c r="J269" s="1478"/>
      <c r="K269" s="900"/>
      <c r="L269" s="900"/>
    </row>
    <row r="270" spans="1:12" ht="15.75" hidden="1" customHeight="1" outlineLevel="1">
      <c r="A270" s="908"/>
      <c r="B270" s="805">
        <v>6</v>
      </c>
      <c r="C270" s="1555" t="s">
        <v>549</v>
      </c>
      <c r="D270" s="1477"/>
      <c r="E270" s="1477"/>
      <c r="F270" s="1477"/>
      <c r="G270" s="1477"/>
      <c r="H270" s="1478"/>
      <c r="I270" s="863" t="s">
        <v>354</v>
      </c>
      <c r="J270" s="864" t="s">
        <v>398</v>
      </c>
      <c r="K270" s="900"/>
      <c r="L270" s="900"/>
    </row>
    <row r="271" spans="1:12" ht="15.75" hidden="1" customHeight="1" outlineLevel="1">
      <c r="A271" s="908"/>
      <c r="B271" s="1560" t="s">
        <v>473</v>
      </c>
      <c r="C271" s="1477"/>
      <c r="D271" s="1477"/>
      <c r="E271" s="1477"/>
      <c r="F271" s="1477"/>
      <c r="G271" s="1477"/>
      <c r="H271" s="1478"/>
      <c r="I271" s="434" t="str">
        <f t="shared" ref="I271:I284" si="17">I163</f>
        <v>-</v>
      </c>
      <c r="J271" s="866">
        <f>J227+J234+J245+J254+J267</f>
        <v>0</v>
      </c>
      <c r="K271" s="900"/>
      <c r="L271" s="900"/>
    </row>
    <row r="272" spans="1:12" ht="15.75" hidden="1" customHeight="1" outlineLevel="1">
      <c r="A272" s="908"/>
      <c r="B272" s="743" t="s">
        <v>312</v>
      </c>
      <c r="C272" s="1561" t="s">
        <v>474</v>
      </c>
      <c r="D272" s="1477"/>
      <c r="E272" s="1477"/>
      <c r="F272" s="1477"/>
      <c r="G272" s="1477"/>
      <c r="H272" s="1478"/>
      <c r="I272" s="868">
        <f t="shared" si="17"/>
        <v>0.06</v>
      </c>
      <c r="J272" s="796">
        <f>ROUND(I272*J271,2)</f>
        <v>0</v>
      </c>
      <c r="K272" s="900"/>
      <c r="L272" s="900"/>
    </row>
    <row r="273" spans="1:12" ht="42.75" hidden="1" customHeight="1" outlineLevel="1">
      <c r="A273" s="908"/>
      <c r="B273" s="1560" t="s">
        <v>475</v>
      </c>
      <c r="C273" s="1477"/>
      <c r="D273" s="1477"/>
      <c r="E273" s="1477"/>
      <c r="F273" s="1477"/>
      <c r="G273" s="1477"/>
      <c r="H273" s="1478"/>
      <c r="I273" s="868" t="str">
        <f t="shared" si="17"/>
        <v>-</v>
      </c>
      <c r="J273" s="866">
        <f>J227+J234+J245+J254+J267+J272</f>
        <v>0</v>
      </c>
      <c r="K273" s="900"/>
      <c r="L273" s="900"/>
    </row>
    <row r="274" spans="1:12" ht="15.75" hidden="1" customHeight="1" outlineLevel="1">
      <c r="A274" s="908"/>
      <c r="B274" s="743" t="s">
        <v>314</v>
      </c>
      <c r="C274" s="1561" t="s">
        <v>251</v>
      </c>
      <c r="D274" s="1477"/>
      <c r="E274" s="1477"/>
      <c r="F274" s="1477"/>
      <c r="G274" s="1477"/>
      <c r="H274" s="1478"/>
      <c r="I274" s="868">
        <f t="shared" si="17"/>
        <v>0.06</v>
      </c>
      <c r="J274" s="796">
        <f>ROUND(I274*J273,2)</f>
        <v>0</v>
      </c>
      <c r="K274" s="900"/>
      <c r="L274" s="900"/>
    </row>
    <row r="275" spans="1:12" ht="42.75" hidden="1" customHeight="1" outlineLevel="1">
      <c r="A275" s="908"/>
      <c r="B275" s="1560" t="s">
        <v>476</v>
      </c>
      <c r="C275" s="1477"/>
      <c r="D275" s="1477"/>
      <c r="E275" s="1477"/>
      <c r="F275" s="1477"/>
      <c r="G275" s="1477"/>
      <c r="H275" s="1478"/>
      <c r="I275" s="868" t="str">
        <f t="shared" si="17"/>
        <v>-</v>
      </c>
      <c r="J275" s="866">
        <f>SUM(J271+J272+J274)</f>
        <v>0</v>
      </c>
      <c r="K275" s="900"/>
      <c r="L275" s="900"/>
    </row>
    <row r="276" spans="1:12" ht="15.75" hidden="1" customHeight="1" outlineLevel="1">
      <c r="A276" s="908"/>
      <c r="B276" s="870" t="s">
        <v>316</v>
      </c>
      <c r="C276" s="1559" t="s">
        <v>477</v>
      </c>
      <c r="D276" s="1477"/>
      <c r="E276" s="1477"/>
      <c r="F276" s="1477"/>
      <c r="G276" s="1477"/>
      <c r="H276" s="1478"/>
      <c r="I276" s="868" t="str">
        <f t="shared" si="17"/>
        <v>-</v>
      </c>
      <c r="J276" s="769" t="s">
        <v>325</v>
      </c>
      <c r="K276" s="900"/>
      <c r="L276" s="900"/>
    </row>
    <row r="277" spans="1:12" ht="42.75" hidden="1" customHeight="1" outlineLevel="1">
      <c r="A277" s="908"/>
      <c r="B277" s="743"/>
      <c r="C277" s="1589" t="s">
        <v>478</v>
      </c>
      <c r="D277" s="1477"/>
      <c r="E277" s="1477"/>
      <c r="F277" s="1477"/>
      <c r="G277" s="1477"/>
      <c r="H277" s="1478"/>
      <c r="I277" s="868" t="str">
        <f t="shared" si="17"/>
        <v>-</v>
      </c>
      <c r="J277" s="769" t="s">
        <v>325</v>
      </c>
      <c r="K277" s="900"/>
      <c r="L277" s="900"/>
    </row>
    <row r="278" spans="1:12" ht="15.75" hidden="1" customHeight="1" outlineLevel="1">
      <c r="A278" s="908"/>
      <c r="B278" s="743"/>
      <c r="C278" s="1590" t="s">
        <v>759</v>
      </c>
      <c r="D278" s="1477"/>
      <c r="E278" s="1477"/>
      <c r="F278" s="1477"/>
      <c r="G278" s="1477"/>
      <c r="H278" s="1478"/>
      <c r="I278" s="868">
        <f t="shared" si="17"/>
        <v>1.6500000000000001E-2</v>
      </c>
      <c r="J278" s="758">
        <f t="shared" ref="J278:J279" si="18">ROUND(($J$275/(1-$I$179))*I278,2)</f>
        <v>0</v>
      </c>
      <c r="K278" s="900"/>
      <c r="L278" s="900"/>
    </row>
    <row r="279" spans="1:12" ht="15.75" hidden="1" customHeight="1" outlineLevel="1">
      <c r="A279" s="908"/>
      <c r="B279" s="743"/>
      <c r="C279" s="1590" t="s">
        <v>760</v>
      </c>
      <c r="D279" s="1477"/>
      <c r="E279" s="1477"/>
      <c r="F279" s="1477"/>
      <c r="G279" s="1477"/>
      <c r="H279" s="1478"/>
      <c r="I279" s="868">
        <f t="shared" si="17"/>
        <v>7.5999999999999998E-2</v>
      </c>
      <c r="J279" s="758">
        <f t="shared" si="18"/>
        <v>0</v>
      </c>
      <c r="K279" s="900"/>
      <c r="L279" s="900"/>
    </row>
    <row r="280" spans="1:12" ht="15.75" hidden="1" customHeight="1" outlineLevel="1">
      <c r="A280" s="908"/>
      <c r="B280" s="743"/>
      <c r="C280" s="1577" t="s">
        <v>761</v>
      </c>
      <c r="D280" s="1477"/>
      <c r="E280" s="1477"/>
      <c r="F280" s="1477"/>
      <c r="G280" s="1477"/>
      <c r="H280" s="1478"/>
      <c r="I280" s="868" t="str">
        <f t="shared" si="17"/>
        <v>-</v>
      </c>
      <c r="J280" s="769" t="s">
        <v>325</v>
      </c>
      <c r="K280" s="900"/>
      <c r="L280" s="900"/>
    </row>
    <row r="281" spans="1:12" ht="15.75" hidden="1" customHeight="1" outlineLevel="1">
      <c r="A281" s="908"/>
      <c r="B281" s="743"/>
      <c r="C281" s="1577" t="s">
        <v>762</v>
      </c>
      <c r="D281" s="1477"/>
      <c r="E281" s="1477"/>
      <c r="F281" s="1477"/>
      <c r="G281" s="1477"/>
      <c r="H281" s="1478"/>
      <c r="I281" s="868" t="str">
        <f t="shared" si="17"/>
        <v>-</v>
      </c>
      <c r="J281" s="769" t="s">
        <v>325</v>
      </c>
      <c r="K281" s="900"/>
      <c r="L281" s="900"/>
    </row>
    <row r="282" spans="1:12" ht="15.75" hidden="1" customHeight="1" outlineLevel="1">
      <c r="A282" s="908"/>
      <c r="B282" s="743"/>
      <c r="C282" s="1577" t="s">
        <v>483</v>
      </c>
      <c r="D282" s="1477"/>
      <c r="E282" s="1477"/>
      <c r="F282" s="1477"/>
      <c r="G282" s="1477"/>
      <c r="H282" s="1477"/>
      <c r="I282" s="868" t="str">
        <f t="shared" si="17"/>
        <v>-</v>
      </c>
      <c r="J282" s="769" t="s">
        <v>325</v>
      </c>
      <c r="K282" s="900"/>
      <c r="L282" s="900"/>
    </row>
    <row r="283" spans="1:12" ht="15.75" hidden="1" customHeight="1" outlineLevel="1">
      <c r="A283" s="908"/>
      <c r="B283" s="743"/>
      <c r="C283" s="1577" t="s">
        <v>484</v>
      </c>
      <c r="D283" s="1477"/>
      <c r="E283" s="1477"/>
      <c r="F283" s="1477"/>
      <c r="G283" s="1477"/>
      <c r="H283" s="1477"/>
      <c r="I283" s="868" t="str">
        <f t="shared" si="17"/>
        <v>-</v>
      </c>
      <c r="J283" s="769" t="s">
        <v>325</v>
      </c>
      <c r="K283" s="900"/>
      <c r="L283" s="900"/>
    </row>
    <row r="284" spans="1:12" ht="15.75" hidden="1" customHeight="1" outlineLevel="1">
      <c r="A284" s="908"/>
      <c r="B284" s="743"/>
      <c r="C284" s="1577" t="s">
        <v>485</v>
      </c>
      <c r="D284" s="1477"/>
      <c r="E284" s="1477"/>
      <c r="F284" s="1477"/>
      <c r="G284" s="1477"/>
      <c r="H284" s="1478"/>
      <c r="I284" s="868">
        <f t="shared" si="17"/>
        <v>0.02</v>
      </c>
      <c r="J284" s="758">
        <f>ROUND(($J$275/(1-$I$179))*I284,2)</f>
        <v>0</v>
      </c>
      <c r="K284" s="900"/>
      <c r="L284" s="900"/>
    </row>
    <row r="285" spans="1:12" ht="15.75" hidden="1" customHeight="1" outlineLevel="1">
      <c r="A285" s="908"/>
      <c r="B285" s="1585" t="s">
        <v>441</v>
      </c>
      <c r="C285" s="1477"/>
      <c r="D285" s="1477"/>
      <c r="E285" s="1477"/>
      <c r="F285" s="1477"/>
      <c r="G285" s="1477"/>
      <c r="H285" s="1477"/>
      <c r="I285" s="1478"/>
      <c r="J285" s="788">
        <f>SUM(J272+J274+J278+J279+J284)</f>
        <v>0</v>
      </c>
      <c r="K285" s="900"/>
      <c r="L285" s="900"/>
    </row>
    <row r="286" spans="1:12" ht="15.75" hidden="1" customHeight="1" outlineLevel="1">
      <c r="A286" s="908"/>
      <c r="B286" s="908"/>
      <c r="C286" s="908"/>
      <c r="D286" s="908"/>
      <c r="E286" s="908"/>
      <c r="F286" s="908"/>
      <c r="G286" s="908"/>
      <c r="H286" s="908"/>
      <c r="I286" s="908"/>
      <c r="J286" s="1016"/>
      <c r="K286" s="900"/>
      <c r="L286" s="900"/>
    </row>
    <row r="287" spans="1:12" ht="15.75" hidden="1" customHeight="1" outlineLevel="1">
      <c r="A287" s="908"/>
      <c r="B287" s="1572" t="s">
        <v>554</v>
      </c>
      <c r="C287" s="1477"/>
      <c r="D287" s="1477"/>
      <c r="E287" s="1477"/>
      <c r="F287" s="1477"/>
      <c r="G287" s="1477"/>
      <c r="H287" s="1477"/>
      <c r="I287" s="1478"/>
      <c r="J287" s="1012" t="s">
        <v>390</v>
      </c>
      <c r="K287" s="900"/>
      <c r="L287" s="900"/>
    </row>
    <row r="288" spans="1:12" ht="15.75" hidden="1" customHeight="1" outlineLevel="1">
      <c r="A288" s="908"/>
      <c r="B288" s="880" t="s">
        <v>312</v>
      </c>
      <c r="C288" s="1599" t="s">
        <v>494</v>
      </c>
      <c r="D288" s="1477"/>
      <c r="E288" s="1477"/>
      <c r="F288" s="1477"/>
      <c r="G288" s="1477"/>
      <c r="H288" s="1477"/>
      <c r="I288" s="1477"/>
      <c r="J288" s="881">
        <f>J227</f>
        <v>0</v>
      </c>
      <c r="K288" s="900"/>
      <c r="L288" s="900"/>
    </row>
    <row r="289" spans="1:12" ht="15.75" hidden="1" customHeight="1" outlineLevel="1">
      <c r="A289" s="908"/>
      <c r="B289" s="880" t="s">
        <v>314</v>
      </c>
      <c r="C289" s="1599" t="s">
        <v>495</v>
      </c>
      <c r="D289" s="1477"/>
      <c r="E289" s="1477"/>
      <c r="F289" s="1477"/>
      <c r="G289" s="1477"/>
      <c r="H289" s="1477"/>
      <c r="I289" s="1477"/>
      <c r="J289" s="881">
        <f>J234+J245</f>
        <v>0</v>
      </c>
      <c r="K289" s="900"/>
      <c r="L289" s="900"/>
    </row>
    <row r="290" spans="1:12" ht="15.75" hidden="1" customHeight="1" outlineLevel="1">
      <c r="A290" s="908"/>
      <c r="B290" s="880" t="s">
        <v>316</v>
      </c>
      <c r="C290" s="1599" t="s">
        <v>496</v>
      </c>
      <c r="D290" s="1477"/>
      <c r="E290" s="1477"/>
      <c r="F290" s="1477"/>
      <c r="G290" s="1477"/>
      <c r="H290" s="1477"/>
      <c r="I290" s="1477"/>
      <c r="J290" s="881">
        <f>J254</f>
        <v>0</v>
      </c>
      <c r="K290" s="900"/>
      <c r="L290" s="900"/>
    </row>
    <row r="291" spans="1:12" ht="15.75" hidden="1" customHeight="1" outlineLevel="1">
      <c r="A291" s="908"/>
      <c r="B291" s="880" t="s">
        <v>318</v>
      </c>
      <c r="C291" s="1599" t="s">
        <v>497</v>
      </c>
      <c r="D291" s="1477"/>
      <c r="E291" s="1477"/>
      <c r="F291" s="1477"/>
      <c r="G291" s="1477"/>
      <c r="H291" s="1477"/>
      <c r="I291" s="1477"/>
      <c r="J291" s="881">
        <f>J267</f>
        <v>0</v>
      </c>
      <c r="K291" s="900"/>
      <c r="L291" s="900"/>
    </row>
    <row r="292" spans="1:12" ht="15.75" hidden="1" customHeight="1" outlineLevel="1">
      <c r="A292" s="908"/>
      <c r="B292" s="880" t="s">
        <v>360</v>
      </c>
      <c r="C292" s="1599" t="s">
        <v>498</v>
      </c>
      <c r="D292" s="1477"/>
      <c r="E292" s="1477"/>
      <c r="F292" s="1477"/>
      <c r="G292" s="1477"/>
      <c r="H292" s="1477"/>
      <c r="I292" s="1477"/>
      <c r="J292" s="881">
        <v>0</v>
      </c>
      <c r="K292" s="900"/>
      <c r="L292" s="900"/>
    </row>
    <row r="293" spans="1:12" ht="15.75" hidden="1" customHeight="1" outlineLevel="1">
      <c r="A293" s="908"/>
      <c r="B293" s="1600" t="s">
        <v>499</v>
      </c>
      <c r="C293" s="1477"/>
      <c r="D293" s="1477"/>
      <c r="E293" s="1477"/>
      <c r="F293" s="1477"/>
      <c r="G293" s="1477"/>
      <c r="H293" s="1477"/>
      <c r="I293" s="1521"/>
      <c r="J293" s="857">
        <f>SUM(J288:J292)</f>
        <v>0</v>
      </c>
      <c r="K293" s="900"/>
      <c r="L293" s="900"/>
    </row>
    <row r="294" spans="1:12" ht="15.75" hidden="1" customHeight="1" outlineLevel="1">
      <c r="A294" s="908"/>
      <c r="B294" s="882" t="s">
        <v>364</v>
      </c>
      <c r="C294" s="1599" t="s">
        <v>471</v>
      </c>
      <c r="D294" s="1477"/>
      <c r="E294" s="1477"/>
      <c r="F294" s="1477"/>
      <c r="G294" s="1477"/>
      <c r="H294" s="1477"/>
      <c r="I294" s="1477"/>
      <c r="J294" s="881">
        <f>J285</f>
        <v>0</v>
      </c>
      <c r="K294" s="900"/>
      <c r="L294" s="900"/>
    </row>
    <row r="295" spans="1:12" ht="15.75" hidden="1" customHeight="1" outlineLevel="1">
      <c r="A295" s="908"/>
      <c r="B295" s="1601" t="s">
        <v>555</v>
      </c>
      <c r="C295" s="1477"/>
      <c r="D295" s="1477"/>
      <c r="E295" s="1477"/>
      <c r="F295" s="1477"/>
      <c r="G295" s="1477"/>
      <c r="H295" s="1477"/>
      <c r="I295" s="1521"/>
      <c r="J295" s="928">
        <f>J293+J294</f>
        <v>0</v>
      </c>
      <c r="K295" s="897" t="s">
        <v>556</v>
      </c>
      <c r="L295" s="897" t="str">
        <f>L203</f>
        <v>3341-05_INSTRUTOR-de-ALUNOS_40hs</v>
      </c>
    </row>
    <row r="296" spans="1:12" ht="15.75" hidden="1" customHeight="1" outlineLevel="1">
      <c r="A296" s="908"/>
      <c r="B296" s="908"/>
      <c r="C296" s="908"/>
      <c r="D296" s="908"/>
      <c r="E296" s="908"/>
      <c r="F296" s="908"/>
      <c r="G296" s="908"/>
      <c r="H296" s="908"/>
      <c r="I296" s="908"/>
      <c r="J296" s="1016"/>
      <c r="K296" s="900"/>
      <c r="L296" s="900"/>
    </row>
    <row r="297" spans="1:12" ht="41" hidden="1" outlineLevel="1">
      <c r="A297" s="908"/>
      <c r="B297" s="929" t="s">
        <v>557</v>
      </c>
      <c r="C297" s="906"/>
      <c r="D297" s="906"/>
      <c r="E297" s="906"/>
      <c r="F297" s="906"/>
      <c r="G297" s="1023" t="str">
        <f>G219</f>
        <v>3341-05_INSTRUTOR-de-ALUNOS_40hs</v>
      </c>
      <c r="H297" s="906"/>
      <c r="I297" s="906"/>
      <c r="J297" s="1018"/>
      <c r="K297" s="900"/>
      <c r="L297" s="900"/>
    </row>
    <row r="298" spans="1:12" ht="24" hidden="1" customHeight="1" outlineLevel="1">
      <c r="A298" s="908"/>
      <c r="B298" s="338"/>
      <c r="C298" s="338"/>
      <c r="D298" s="338"/>
      <c r="E298" s="338"/>
      <c r="F298" s="338"/>
      <c r="G298" s="338"/>
      <c r="H298" s="338"/>
      <c r="I298" s="338"/>
      <c r="J298" s="338"/>
      <c r="K298" s="900"/>
      <c r="L298" s="900"/>
    </row>
    <row r="299" spans="1:12" ht="69.75" hidden="1" customHeight="1" outlineLevel="1">
      <c r="A299" s="908"/>
      <c r="B299" s="1602" t="s">
        <v>410</v>
      </c>
      <c r="C299" s="1477"/>
      <c r="D299" s="1477"/>
      <c r="E299" s="1477"/>
      <c r="F299" s="1477"/>
      <c r="G299" s="1477"/>
      <c r="H299" s="1477"/>
      <c r="I299" s="1477"/>
      <c r="J299" s="1478"/>
      <c r="K299" s="900"/>
      <c r="L299" s="900"/>
    </row>
    <row r="300" spans="1:12" ht="15.75" hidden="1" customHeight="1" outlineLevel="1">
      <c r="A300" s="908"/>
      <c r="B300" s="805" t="s">
        <v>411</v>
      </c>
      <c r="C300" s="1603" t="s">
        <v>558</v>
      </c>
      <c r="D300" s="1477"/>
      <c r="E300" s="1477"/>
      <c r="F300" s="1477"/>
      <c r="G300" s="1477"/>
      <c r="H300" s="1477"/>
      <c r="I300" s="1478"/>
      <c r="J300" s="864" t="s">
        <v>390</v>
      </c>
      <c r="K300" s="900"/>
      <c r="L300" s="900"/>
    </row>
    <row r="301" spans="1:12" ht="39" hidden="1" customHeight="1" outlineLevel="1">
      <c r="A301" s="908"/>
      <c r="B301" s="932" t="s">
        <v>559</v>
      </c>
      <c r="C301" s="932" t="s">
        <v>560</v>
      </c>
      <c r="D301" s="933" t="s">
        <v>561</v>
      </c>
      <c r="E301" s="932" t="s">
        <v>562</v>
      </c>
      <c r="F301" s="934" t="s">
        <v>563</v>
      </c>
      <c r="G301" s="932" t="s">
        <v>564</v>
      </c>
      <c r="H301" s="935" t="s">
        <v>565</v>
      </c>
      <c r="I301" s="936"/>
      <c r="J301" s="1025"/>
      <c r="K301" s="900"/>
      <c r="L301" s="900"/>
    </row>
    <row r="302" spans="1:12" ht="39" hidden="1" customHeight="1" outlineLevel="1">
      <c r="A302" s="908"/>
      <c r="B302" s="1604" t="s">
        <v>566</v>
      </c>
      <c r="C302" s="938" t="s">
        <v>567</v>
      </c>
      <c r="D302" s="939">
        <v>425</v>
      </c>
      <c r="E302" s="940" t="s">
        <v>568</v>
      </c>
      <c r="F302" s="941">
        <v>380</v>
      </c>
      <c r="G302" s="942" t="s">
        <v>569</v>
      </c>
      <c r="H302" s="943">
        <v>335</v>
      </c>
      <c r="I302" s="944"/>
      <c r="J302" s="945">
        <f>(D302*D303)+(F302*F303)+(H302*H303)</f>
        <v>0</v>
      </c>
      <c r="K302" s="900"/>
      <c r="L302" s="900"/>
    </row>
    <row r="303" spans="1:12" ht="39" hidden="1" customHeight="1" outlineLevel="1">
      <c r="A303" s="908"/>
      <c r="B303" s="1605"/>
      <c r="C303" s="946" t="s">
        <v>570</v>
      </c>
      <c r="D303" s="947">
        <v>0</v>
      </c>
      <c r="E303" s="946" t="s">
        <v>571</v>
      </c>
      <c r="F303" s="947">
        <v>0</v>
      </c>
      <c r="G303" s="946" t="s">
        <v>572</v>
      </c>
      <c r="H303" s="948">
        <v>0</v>
      </c>
      <c r="I303" s="949"/>
      <c r="J303" s="950"/>
      <c r="K303" s="900"/>
      <c r="L303" s="900"/>
    </row>
    <row r="304" spans="1:12" ht="25.5" hidden="1" customHeight="1" outlineLevel="1">
      <c r="A304" s="908"/>
      <c r="B304" s="1026"/>
      <c r="C304" s="1585" t="s">
        <v>393</v>
      </c>
      <c r="D304" s="1477"/>
      <c r="E304" s="1477"/>
      <c r="F304" s="1477"/>
      <c r="G304" s="1477"/>
      <c r="H304" s="1477"/>
      <c r="I304" s="1521"/>
      <c r="J304" s="788">
        <f>J302</f>
        <v>0</v>
      </c>
      <c r="K304" s="900"/>
      <c r="L304" s="900"/>
    </row>
    <row r="305" spans="1:12" ht="25.5" hidden="1" customHeight="1" outlineLevel="1">
      <c r="A305" s="908"/>
      <c r="B305" s="908"/>
      <c r="C305" s="908"/>
      <c r="D305" s="908"/>
      <c r="E305" s="908"/>
      <c r="F305" s="908"/>
      <c r="G305" s="908"/>
      <c r="H305" s="908"/>
      <c r="I305" s="908"/>
      <c r="J305" s="1016"/>
      <c r="K305" s="900"/>
      <c r="L305" s="900"/>
    </row>
    <row r="306" spans="1:12" ht="25.5" hidden="1" customHeight="1" outlineLevel="1">
      <c r="A306" s="908"/>
      <c r="B306" s="805">
        <v>6</v>
      </c>
      <c r="C306" s="1555" t="s">
        <v>763</v>
      </c>
      <c r="D306" s="1477"/>
      <c r="E306" s="1477"/>
      <c r="F306" s="1477"/>
      <c r="G306" s="1477"/>
      <c r="H306" s="1478"/>
      <c r="I306" s="863" t="s">
        <v>354</v>
      </c>
      <c r="J306" s="864" t="s">
        <v>398</v>
      </c>
      <c r="K306" s="900"/>
      <c r="L306" s="900"/>
    </row>
    <row r="307" spans="1:12" ht="25.5" hidden="1" customHeight="1" outlineLevel="1">
      <c r="A307" s="908"/>
      <c r="B307" s="1560" t="s">
        <v>473</v>
      </c>
      <c r="C307" s="1477"/>
      <c r="D307" s="1477"/>
      <c r="E307" s="1477"/>
      <c r="F307" s="1477"/>
      <c r="G307" s="1477"/>
      <c r="H307" s="1478"/>
      <c r="I307" s="434" t="str">
        <f t="shared" ref="I307:I320" si="19">I271</f>
        <v>-</v>
      </c>
      <c r="J307" s="866">
        <f>J304</f>
        <v>0</v>
      </c>
      <c r="K307" s="900"/>
      <c r="L307" s="900"/>
    </row>
    <row r="308" spans="1:12" ht="15.75" hidden="1" customHeight="1" outlineLevel="1">
      <c r="A308" s="908"/>
      <c r="B308" s="743" t="s">
        <v>312</v>
      </c>
      <c r="C308" s="1561" t="s">
        <v>474</v>
      </c>
      <c r="D308" s="1477"/>
      <c r="E308" s="1477"/>
      <c r="F308" s="1477"/>
      <c r="G308" s="1477"/>
      <c r="H308" s="1478"/>
      <c r="I308" s="868">
        <f t="shared" si="19"/>
        <v>0.06</v>
      </c>
      <c r="J308" s="796">
        <f>ROUND(I308*J307,2)</f>
        <v>0</v>
      </c>
      <c r="K308" s="900"/>
      <c r="L308" s="900"/>
    </row>
    <row r="309" spans="1:12" ht="15.75" hidden="1" customHeight="1" outlineLevel="1">
      <c r="A309" s="908"/>
      <c r="B309" s="1560" t="s">
        <v>475</v>
      </c>
      <c r="C309" s="1477"/>
      <c r="D309" s="1477"/>
      <c r="E309" s="1477"/>
      <c r="F309" s="1477"/>
      <c r="G309" s="1477"/>
      <c r="H309" s="1478"/>
      <c r="I309" s="868" t="str">
        <f t="shared" si="19"/>
        <v>-</v>
      </c>
      <c r="J309" s="866">
        <f>J307+J308</f>
        <v>0</v>
      </c>
      <c r="K309" s="900"/>
      <c r="L309" s="900"/>
    </row>
    <row r="310" spans="1:12" ht="15.75" hidden="1" customHeight="1" outlineLevel="1">
      <c r="A310" s="908"/>
      <c r="B310" s="743" t="s">
        <v>314</v>
      </c>
      <c r="C310" s="1561" t="s">
        <v>251</v>
      </c>
      <c r="D310" s="1477"/>
      <c r="E310" s="1477"/>
      <c r="F310" s="1477"/>
      <c r="G310" s="1477"/>
      <c r="H310" s="1478"/>
      <c r="I310" s="868">
        <f t="shared" si="19"/>
        <v>0.06</v>
      </c>
      <c r="J310" s="796">
        <f>ROUND(I310*J309,2)</f>
        <v>0</v>
      </c>
      <c r="K310" s="900"/>
      <c r="L310" s="900"/>
    </row>
    <row r="311" spans="1:12" ht="15.75" hidden="1" customHeight="1" outlineLevel="1">
      <c r="A311" s="908"/>
      <c r="B311" s="1560" t="s">
        <v>476</v>
      </c>
      <c r="C311" s="1477"/>
      <c r="D311" s="1477"/>
      <c r="E311" s="1477"/>
      <c r="F311" s="1477"/>
      <c r="G311" s="1477"/>
      <c r="H311" s="1478"/>
      <c r="I311" s="868" t="str">
        <f t="shared" si="19"/>
        <v>-</v>
      </c>
      <c r="J311" s="866">
        <f>SUM(J307+J308+J310)</f>
        <v>0</v>
      </c>
      <c r="K311" s="900"/>
      <c r="L311" s="900"/>
    </row>
    <row r="312" spans="1:12" ht="45" hidden="1" customHeight="1" outlineLevel="1">
      <c r="A312" s="908"/>
      <c r="B312" s="870" t="s">
        <v>316</v>
      </c>
      <c r="C312" s="1559" t="s">
        <v>477</v>
      </c>
      <c r="D312" s="1477"/>
      <c r="E312" s="1477"/>
      <c r="F312" s="1477"/>
      <c r="G312" s="1477"/>
      <c r="H312" s="1478"/>
      <c r="I312" s="868" t="str">
        <f t="shared" si="19"/>
        <v>-</v>
      </c>
      <c r="J312" s="769" t="s">
        <v>325</v>
      </c>
      <c r="K312" s="900"/>
      <c r="L312" s="900"/>
    </row>
    <row r="313" spans="1:12" ht="15.75" hidden="1" customHeight="1" outlineLevel="1">
      <c r="A313" s="908"/>
      <c r="B313" s="743"/>
      <c r="C313" s="1589" t="s">
        <v>478</v>
      </c>
      <c r="D313" s="1477"/>
      <c r="E313" s="1477"/>
      <c r="F313" s="1477"/>
      <c r="G313" s="1477"/>
      <c r="H313" s="1478"/>
      <c r="I313" s="868" t="str">
        <f t="shared" si="19"/>
        <v>-</v>
      </c>
      <c r="J313" s="769" t="s">
        <v>325</v>
      </c>
      <c r="K313" s="900"/>
      <c r="L313" s="900"/>
    </row>
    <row r="314" spans="1:12" ht="45" hidden="1" customHeight="1" outlineLevel="1">
      <c r="A314" s="908"/>
      <c r="B314" s="743"/>
      <c r="C314" s="1590" t="s">
        <v>764</v>
      </c>
      <c r="D314" s="1477"/>
      <c r="E314" s="1477"/>
      <c r="F314" s="1477"/>
      <c r="G314" s="1477"/>
      <c r="H314" s="1478"/>
      <c r="I314" s="868">
        <f t="shared" si="19"/>
        <v>1.6500000000000001E-2</v>
      </c>
      <c r="J314" s="758">
        <f t="shared" ref="J314:J315" si="20">ROUND(($J$311/(1-$I$179))*I314,2)</f>
        <v>0</v>
      </c>
      <c r="K314" s="900"/>
      <c r="L314" s="900"/>
    </row>
    <row r="315" spans="1:12" ht="15.75" hidden="1" customHeight="1" outlineLevel="1">
      <c r="A315" s="908"/>
      <c r="B315" s="743"/>
      <c r="C315" s="1590" t="s">
        <v>765</v>
      </c>
      <c r="D315" s="1477"/>
      <c r="E315" s="1477"/>
      <c r="F315" s="1477"/>
      <c r="G315" s="1477"/>
      <c r="H315" s="1478"/>
      <c r="I315" s="868">
        <f t="shared" si="19"/>
        <v>7.5999999999999998E-2</v>
      </c>
      <c r="J315" s="758">
        <f t="shared" si="20"/>
        <v>0</v>
      </c>
      <c r="K315" s="900"/>
      <c r="L315" s="900"/>
    </row>
    <row r="316" spans="1:12" ht="45" hidden="1" customHeight="1" outlineLevel="1">
      <c r="A316" s="908"/>
      <c r="B316" s="743"/>
      <c r="C316" s="1577" t="s">
        <v>766</v>
      </c>
      <c r="D316" s="1477"/>
      <c r="E316" s="1477"/>
      <c r="F316" s="1477"/>
      <c r="G316" s="1477"/>
      <c r="H316" s="1478"/>
      <c r="I316" s="868" t="str">
        <f t="shared" si="19"/>
        <v>-</v>
      </c>
      <c r="J316" s="951" t="s">
        <v>325</v>
      </c>
      <c r="K316" s="952"/>
      <c r="L316" s="953"/>
    </row>
    <row r="317" spans="1:12" ht="15.75" hidden="1" customHeight="1" outlineLevel="1">
      <c r="A317" s="908"/>
      <c r="B317" s="743"/>
      <c r="C317" s="1577" t="s">
        <v>767</v>
      </c>
      <c r="D317" s="1477"/>
      <c r="E317" s="1477"/>
      <c r="F317" s="1477"/>
      <c r="G317" s="1477"/>
      <c r="H317" s="1478"/>
      <c r="I317" s="868" t="str">
        <f t="shared" si="19"/>
        <v>-</v>
      </c>
      <c r="J317" s="769" t="s">
        <v>325</v>
      </c>
      <c r="K317" s="900"/>
      <c r="L317" s="900"/>
    </row>
    <row r="318" spans="1:12" ht="15.75" hidden="1" customHeight="1" outlineLevel="1">
      <c r="A318" s="908"/>
      <c r="B318" s="743"/>
      <c r="C318" s="1577" t="s">
        <v>483</v>
      </c>
      <c r="D318" s="1477"/>
      <c r="E318" s="1477"/>
      <c r="F318" s="1477"/>
      <c r="G318" s="1477"/>
      <c r="H318" s="1477"/>
      <c r="I318" s="868" t="str">
        <f t="shared" si="19"/>
        <v>-</v>
      </c>
      <c r="J318" s="769" t="s">
        <v>325</v>
      </c>
      <c r="K318" s="900"/>
      <c r="L318" s="900"/>
    </row>
    <row r="319" spans="1:12" ht="15.75" hidden="1" customHeight="1" outlineLevel="1">
      <c r="A319" s="908"/>
      <c r="B319" s="743"/>
      <c r="C319" s="1577" t="s">
        <v>484</v>
      </c>
      <c r="D319" s="1477"/>
      <c r="E319" s="1477"/>
      <c r="F319" s="1477"/>
      <c r="G319" s="1477"/>
      <c r="H319" s="1477"/>
      <c r="I319" s="868" t="str">
        <f t="shared" si="19"/>
        <v>-</v>
      </c>
      <c r="J319" s="769" t="s">
        <v>325</v>
      </c>
      <c r="K319" s="900"/>
      <c r="L319" s="900"/>
    </row>
    <row r="320" spans="1:12" ht="15.75" hidden="1" customHeight="1" outlineLevel="1">
      <c r="A320" s="908"/>
      <c r="B320" s="743"/>
      <c r="C320" s="1577" t="s">
        <v>485</v>
      </c>
      <c r="D320" s="1477"/>
      <c r="E320" s="1477"/>
      <c r="F320" s="1477"/>
      <c r="G320" s="1477"/>
      <c r="H320" s="1478"/>
      <c r="I320" s="868">
        <f t="shared" si="19"/>
        <v>0.02</v>
      </c>
      <c r="J320" s="758">
        <f>ROUND(($J$311/(1-$I$179))*I320,2)</f>
        <v>0</v>
      </c>
      <c r="K320" s="900"/>
      <c r="L320" s="900"/>
    </row>
    <row r="321" spans="1:12" ht="15.75" hidden="1" customHeight="1" outlineLevel="1">
      <c r="A321" s="908"/>
      <c r="B321" s="1585" t="s">
        <v>441</v>
      </c>
      <c r="C321" s="1477"/>
      <c r="D321" s="1477"/>
      <c r="E321" s="1477"/>
      <c r="F321" s="1477"/>
      <c r="G321" s="1477"/>
      <c r="H321" s="1477"/>
      <c r="I321" s="1478"/>
      <c r="J321" s="788">
        <f>SUM(J308+J310+J314+J315+J320)</f>
        <v>0</v>
      </c>
      <c r="K321" s="900"/>
      <c r="L321" s="900"/>
    </row>
    <row r="322" spans="1:12" ht="15.75" hidden="1" customHeight="1" outlineLevel="1">
      <c r="A322" s="908"/>
      <c r="B322" s="908"/>
      <c r="C322" s="908"/>
      <c r="D322" s="908"/>
      <c r="E322" s="908"/>
      <c r="F322" s="908"/>
      <c r="G322" s="908"/>
      <c r="H322" s="908"/>
      <c r="I322" s="908"/>
      <c r="J322" s="1016"/>
      <c r="K322" s="900"/>
      <c r="L322" s="900"/>
    </row>
    <row r="323" spans="1:12" ht="27" hidden="1" customHeight="1" outlineLevel="1">
      <c r="A323" s="908"/>
      <c r="B323" s="1572" t="s">
        <v>577</v>
      </c>
      <c r="C323" s="1477"/>
      <c r="D323" s="1477"/>
      <c r="E323" s="1477"/>
      <c r="F323" s="1477"/>
      <c r="G323" s="1477"/>
      <c r="H323" s="1477"/>
      <c r="I323" s="1478"/>
      <c r="J323" s="1012" t="s">
        <v>390</v>
      </c>
      <c r="K323" s="900"/>
      <c r="L323" s="900"/>
    </row>
    <row r="324" spans="1:12" ht="18.75" hidden="1" customHeight="1" outlineLevel="1">
      <c r="A324" s="908"/>
      <c r="B324" s="880" t="s">
        <v>312</v>
      </c>
      <c r="C324" s="1599" t="s">
        <v>494</v>
      </c>
      <c r="D324" s="1477"/>
      <c r="E324" s="1477"/>
      <c r="F324" s="1477"/>
      <c r="G324" s="1477"/>
      <c r="H324" s="1477"/>
      <c r="I324" s="1477"/>
      <c r="J324" s="881">
        <v>0</v>
      </c>
      <c r="K324" s="900"/>
      <c r="L324" s="900"/>
    </row>
    <row r="325" spans="1:12" ht="18.75" hidden="1" customHeight="1" outlineLevel="1">
      <c r="A325" s="908"/>
      <c r="B325" s="880" t="s">
        <v>314</v>
      </c>
      <c r="C325" s="1599" t="s">
        <v>578</v>
      </c>
      <c r="D325" s="1477"/>
      <c r="E325" s="1477"/>
      <c r="F325" s="1477"/>
      <c r="G325" s="1477"/>
      <c r="H325" s="1477"/>
      <c r="I325" s="1477"/>
      <c r="J325" s="881">
        <f>J304</f>
        <v>0</v>
      </c>
      <c r="K325" s="900"/>
      <c r="L325" s="900"/>
    </row>
    <row r="326" spans="1:12" ht="18.75" hidden="1" customHeight="1" outlineLevel="1">
      <c r="A326" s="908"/>
      <c r="B326" s="880" t="s">
        <v>316</v>
      </c>
      <c r="C326" s="1599" t="s">
        <v>496</v>
      </c>
      <c r="D326" s="1477"/>
      <c r="E326" s="1477"/>
      <c r="F326" s="1477"/>
      <c r="G326" s="1477"/>
      <c r="H326" s="1477"/>
      <c r="I326" s="1477"/>
      <c r="J326" s="881">
        <v>0</v>
      </c>
      <c r="K326" s="900"/>
      <c r="L326" s="900"/>
    </row>
    <row r="327" spans="1:12" ht="18.75" hidden="1" customHeight="1" outlineLevel="1">
      <c r="A327" s="908"/>
      <c r="B327" s="880" t="s">
        <v>318</v>
      </c>
      <c r="C327" s="1599" t="s">
        <v>497</v>
      </c>
      <c r="D327" s="1477"/>
      <c r="E327" s="1477"/>
      <c r="F327" s="1477"/>
      <c r="G327" s="1477"/>
      <c r="H327" s="1477"/>
      <c r="I327" s="1477"/>
      <c r="J327" s="881">
        <v>0</v>
      </c>
      <c r="K327" s="900"/>
      <c r="L327" s="900"/>
    </row>
    <row r="328" spans="1:12" ht="18.75" hidden="1" customHeight="1" outlineLevel="1">
      <c r="A328" s="908"/>
      <c r="B328" s="880" t="s">
        <v>360</v>
      </c>
      <c r="C328" s="1599" t="s">
        <v>498</v>
      </c>
      <c r="D328" s="1477"/>
      <c r="E328" s="1477"/>
      <c r="F328" s="1477"/>
      <c r="G328" s="1477"/>
      <c r="H328" s="1477"/>
      <c r="I328" s="1477"/>
      <c r="J328" s="881">
        <v>0</v>
      </c>
      <c r="K328" s="900"/>
      <c r="L328" s="900"/>
    </row>
    <row r="329" spans="1:12" ht="17.25" hidden="1" customHeight="1" outlineLevel="1">
      <c r="A329" s="908"/>
      <c r="B329" s="1600" t="s">
        <v>499</v>
      </c>
      <c r="C329" s="1477"/>
      <c r="D329" s="1477"/>
      <c r="E329" s="1477"/>
      <c r="F329" s="1477"/>
      <c r="G329" s="1477"/>
      <c r="H329" s="1477"/>
      <c r="I329" s="1521"/>
      <c r="J329" s="857">
        <f>SUM(J324:J328)</f>
        <v>0</v>
      </c>
      <c r="K329" s="900"/>
      <c r="L329" s="900"/>
    </row>
    <row r="330" spans="1:12" ht="17.25" hidden="1" customHeight="1" outlineLevel="1">
      <c r="A330" s="908"/>
      <c r="B330" s="882" t="s">
        <v>364</v>
      </c>
      <c r="C330" s="1599" t="s">
        <v>471</v>
      </c>
      <c r="D330" s="1477"/>
      <c r="E330" s="1477"/>
      <c r="F330" s="1477"/>
      <c r="G330" s="1477"/>
      <c r="H330" s="1477"/>
      <c r="I330" s="1477"/>
      <c r="J330" s="881">
        <f>J321</f>
        <v>0</v>
      </c>
      <c r="K330" s="900"/>
      <c r="L330" s="900"/>
    </row>
    <row r="331" spans="1:12" ht="17.25" hidden="1" customHeight="1" outlineLevel="1">
      <c r="A331" s="908"/>
      <c r="B331" s="1600" t="s">
        <v>579</v>
      </c>
      <c r="C331" s="1477"/>
      <c r="D331" s="1477"/>
      <c r="E331" s="1477"/>
      <c r="F331" s="1477"/>
      <c r="G331" s="1477"/>
      <c r="H331" s="1477"/>
      <c r="I331" s="1521"/>
      <c r="J331" s="954">
        <f>ROUND(J325+J321,2)</f>
        <v>0</v>
      </c>
      <c r="K331" s="897" t="s">
        <v>580</v>
      </c>
      <c r="L331" s="897" t="str">
        <f>L295</f>
        <v>3341-05_INSTRUTOR-de-ALUNOS_40hs</v>
      </c>
    </row>
    <row r="332" spans="1:12" ht="17.25" hidden="1" customHeight="1" outlineLevel="1">
      <c r="A332" s="908"/>
      <c r="B332" s="908"/>
      <c r="C332" s="908"/>
      <c r="D332" s="908"/>
      <c r="E332" s="908"/>
      <c r="F332" s="908"/>
      <c r="G332" s="908"/>
      <c r="H332" s="908"/>
      <c r="I332" s="908"/>
      <c r="J332" s="1016"/>
      <c r="K332" s="900"/>
      <c r="L332" s="900"/>
    </row>
    <row r="333" spans="1:12" ht="17.25" hidden="1" customHeight="1" outlineLevel="1">
      <c r="A333" s="908"/>
      <c r="B333" s="1606" t="s">
        <v>581</v>
      </c>
      <c r="C333" s="1477"/>
      <c r="D333" s="1477"/>
      <c r="E333" s="1477"/>
      <c r="F333" s="1477"/>
      <c r="G333" s="1477"/>
      <c r="H333" s="1477"/>
      <c r="I333" s="1477"/>
      <c r="J333" s="1478"/>
      <c r="K333" s="900"/>
      <c r="L333" s="900"/>
    </row>
    <row r="334" spans="1:12" ht="62.25" hidden="1" customHeight="1" outlineLevel="1">
      <c r="A334" s="908"/>
      <c r="B334" s="1607" t="s">
        <v>503</v>
      </c>
      <c r="C334" s="1575"/>
      <c r="D334" s="1575"/>
      <c r="E334" s="1608"/>
      <c r="F334" s="955" t="s">
        <v>582</v>
      </c>
      <c r="G334" s="956" t="s">
        <v>768</v>
      </c>
      <c r="H334" s="957" t="s">
        <v>506</v>
      </c>
      <c r="I334" s="1607" t="s">
        <v>507</v>
      </c>
      <c r="J334" s="1608"/>
      <c r="K334" s="900"/>
      <c r="L334" s="900"/>
    </row>
    <row r="335" spans="1:12" ht="48" hidden="1" customHeight="1" outlineLevel="1">
      <c r="A335" s="908"/>
      <c r="B335" s="1609" t="str">
        <f>B203</f>
        <v>3341-05_INSTRUTOR-de-ALUNOS_40hs</v>
      </c>
      <c r="C335" s="1477"/>
      <c r="D335" s="1477"/>
      <c r="E335" s="1478"/>
      <c r="F335" s="958">
        <f>J331</f>
        <v>0</v>
      </c>
      <c r="G335" s="959">
        <f>G203</f>
        <v>1</v>
      </c>
      <c r="H335" s="960">
        <f>H207</f>
        <v>3</v>
      </c>
      <c r="I335" s="1610">
        <f>F335*G335</f>
        <v>0</v>
      </c>
      <c r="J335" s="1478"/>
      <c r="K335" s="900"/>
      <c r="L335" s="900"/>
    </row>
    <row r="336" spans="1:12" ht="14.5" hidden="1" outlineLevel="1">
      <c r="A336" s="908"/>
      <c r="B336" s="1562"/>
      <c r="C336" s="1477"/>
      <c r="D336" s="1477"/>
      <c r="E336" s="1477"/>
      <c r="F336" s="1477"/>
      <c r="G336" s="1477"/>
      <c r="H336" s="1477"/>
      <c r="I336" s="1477"/>
      <c r="J336" s="1478"/>
      <c r="K336" s="900"/>
      <c r="L336" s="900"/>
    </row>
    <row r="337" spans="1:12" ht="23.25" hidden="1" customHeight="1" outlineLevel="1">
      <c r="A337" s="908"/>
      <c r="B337" s="1563" t="s">
        <v>584</v>
      </c>
      <c r="C337" s="1477"/>
      <c r="D337" s="1477"/>
      <c r="E337" s="1477"/>
      <c r="F337" s="1477"/>
      <c r="G337" s="1478"/>
      <c r="H337" s="1564">
        <f>I335</f>
        <v>0</v>
      </c>
      <c r="I337" s="1477"/>
      <c r="J337" s="1478"/>
      <c r="K337" s="900"/>
      <c r="L337" s="900"/>
    </row>
    <row r="338" spans="1:12" ht="15.75" hidden="1" customHeight="1" outlineLevel="1">
      <c r="A338" s="908"/>
      <c r="B338" s="1565"/>
      <c r="C338" s="1528"/>
      <c r="D338" s="1528"/>
      <c r="E338" s="1528"/>
      <c r="F338" s="1528"/>
      <c r="G338" s="1528"/>
      <c r="H338" s="1528"/>
      <c r="I338" s="1528"/>
      <c r="J338" s="1566"/>
      <c r="K338" s="900"/>
      <c r="L338" s="900"/>
    </row>
    <row r="339" spans="1:12" ht="52.5" hidden="1" customHeight="1" outlineLevel="1">
      <c r="A339" s="908"/>
      <c r="B339" s="1563" t="s">
        <v>517</v>
      </c>
      <c r="C339" s="1477"/>
      <c r="D339" s="1477"/>
      <c r="E339" s="1477"/>
      <c r="F339" s="1477"/>
      <c r="G339" s="1478"/>
      <c r="H339" s="1567">
        <f>$I$11</f>
        <v>30</v>
      </c>
      <c r="I339" s="1477"/>
      <c r="J339" s="1478"/>
      <c r="K339" s="900"/>
      <c r="L339" s="900"/>
    </row>
    <row r="340" spans="1:12" ht="30" hidden="1" customHeight="1" outlineLevel="1">
      <c r="A340" s="908"/>
      <c r="B340" s="1568"/>
      <c r="C340" s="1477"/>
      <c r="D340" s="1477"/>
      <c r="E340" s="1477"/>
      <c r="F340" s="1477"/>
      <c r="G340" s="1477"/>
      <c r="H340" s="1477"/>
      <c r="I340" s="1477"/>
      <c r="J340" s="1478"/>
      <c r="K340" s="900"/>
      <c r="L340" s="900"/>
    </row>
    <row r="341" spans="1:12" ht="15.75" hidden="1" customHeight="1" outlineLevel="1">
      <c r="A341" s="908"/>
      <c r="B341" s="1563" t="s">
        <v>769</v>
      </c>
      <c r="C341" s="1477"/>
      <c r="D341" s="1477"/>
      <c r="E341" s="1477"/>
      <c r="F341" s="1477"/>
      <c r="G341" s="1478"/>
      <c r="H341" s="1569">
        <f>ROUND(H337*H339,2)</f>
        <v>0</v>
      </c>
      <c r="I341" s="1477"/>
      <c r="J341" s="1478"/>
      <c r="K341" s="900"/>
      <c r="L341" s="900"/>
    </row>
    <row r="342" spans="1:12" ht="15.75" hidden="1" customHeight="1" outlineLevel="1">
      <c r="A342" s="908"/>
      <c r="B342" s="1570"/>
      <c r="C342" s="1477"/>
      <c r="D342" s="1477"/>
      <c r="E342" s="1477"/>
      <c r="F342" s="1477"/>
      <c r="G342" s="1477"/>
      <c r="H342" s="1477"/>
      <c r="I342" s="1477"/>
      <c r="J342" s="1478"/>
      <c r="K342" s="962"/>
      <c r="L342" s="962"/>
    </row>
    <row r="343" spans="1:12" ht="15.75" hidden="1" customHeight="1" outlineLevel="1">
      <c r="A343" s="908"/>
      <c r="B343" s="963"/>
      <c r="C343" s="964"/>
      <c r="D343" s="964"/>
      <c r="E343" s="964"/>
      <c r="F343" s="965"/>
      <c r="G343" s="965"/>
      <c r="H343" s="965"/>
      <c r="I343" s="966"/>
      <c r="J343" s="967"/>
      <c r="K343" s="904"/>
      <c r="L343" s="904"/>
    </row>
    <row r="344" spans="1:12" ht="34.5" hidden="1" customHeight="1" outlineLevel="1">
      <c r="A344" s="908"/>
      <c r="B344" s="1591" t="str">
        <f>B3</f>
        <v>3341-05_INSTRUTOR-de-ALUNOS_40hs</v>
      </c>
      <c r="C344" s="1419"/>
      <c r="D344" s="1419"/>
      <c r="E344" s="1592"/>
      <c r="F344" s="968">
        <f>I203</f>
        <v>5899.24</v>
      </c>
      <c r="G344" s="969">
        <f>G203</f>
        <v>1</v>
      </c>
      <c r="H344" s="969">
        <f>H207</f>
        <v>3</v>
      </c>
      <c r="I344" s="970">
        <f>F344*H344</f>
        <v>17697.72</v>
      </c>
      <c r="J344" s="971">
        <f>I344*H339</f>
        <v>530931.60000000009</v>
      </c>
      <c r="K344" s="900"/>
      <c r="L344" s="900"/>
    </row>
    <row r="345" spans="1:12" ht="34.5" hidden="1" customHeight="1" outlineLevel="1">
      <c r="A345" s="908"/>
      <c r="B345" s="1593" t="str">
        <f>B219</f>
        <v>CALCULO DO CUSTO EXCLUSIVO de HORAS EXTRAS</v>
      </c>
      <c r="C345" s="1594"/>
      <c r="D345" s="1594"/>
      <c r="E345" s="1595"/>
      <c r="F345" s="972">
        <f>J295</f>
        <v>0</v>
      </c>
      <c r="G345" s="969">
        <f t="shared" ref="G345:H345" si="21">G344</f>
        <v>1</v>
      </c>
      <c r="H345" s="969">
        <f t="shared" si="21"/>
        <v>3</v>
      </c>
      <c r="I345" s="970">
        <f>IF(H335&gt;=1, F345*1, 0)</f>
        <v>0</v>
      </c>
      <c r="J345" s="971">
        <f>I345*H339</f>
        <v>0</v>
      </c>
      <c r="K345" s="900"/>
      <c r="L345" s="900"/>
    </row>
    <row r="346" spans="1:12" ht="34.5" hidden="1" customHeight="1" outlineLevel="1">
      <c r="A346" s="908"/>
      <c r="B346" s="1596" t="str">
        <f>B297</f>
        <v xml:space="preserve">CALCULO DO CUSTO EXCLUSIVO das DIÁRIAS </v>
      </c>
      <c r="C346" s="1597"/>
      <c r="D346" s="1597"/>
      <c r="E346" s="1598"/>
      <c r="F346" s="973">
        <f>J331</f>
        <v>0</v>
      </c>
      <c r="G346" s="974">
        <f t="shared" ref="G346:H346" si="22">G345</f>
        <v>1</v>
      </c>
      <c r="H346" s="974">
        <f t="shared" si="22"/>
        <v>3</v>
      </c>
      <c r="I346" s="975">
        <f>IF(H335&gt;=1, F346*1, 0)</f>
        <v>0</v>
      </c>
      <c r="J346" s="976">
        <f>I346*H339</f>
        <v>0</v>
      </c>
      <c r="K346" s="900"/>
      <c r="L346" s="900"/>
    </row>
    <row r="347" spans="1:12" ht="48" hidden="1" customHeight="1" outlineLevel="1">
      <c r="A347" s="908"/>
      <c r="B347" s="977" t="s">
        <v>586</v>
      </c>
      <c r="C347" s="978"/>
      <c r="D347" s="979" t="str">
        <f>G297</f>
        <v>3341-05_INSTRUTOR-de-ALUNOS_40hs</v>
      </c>
      <c r="E347" s="978"/>
      <c r="F347" s="978"/>
      <c r="G347" s="978"/>
      <c r="H347" s="978"/>
      <c r="I347" s="980"/>
      <c r="J347" s="981">
        <f>J344+J345+J346</f>
        <v>530931.60000000009</v>
      </c>
      <c r="K347" s="900"/>
      <c r="L347" s="900"/>
    </row>
    <row r="348" spans="1:12" ht="15.75" customHeight="1">
      <c r="A348" s="908"/>
      <c r="B348" s="908"/>
      <c r="C348" s="908"/>
      <c r="D348" s="908"/>
      <c r="E348" s="908"/>
      <c r="F348" s="908"/>
      <c r="G348" s="908"/>
      <c r="H348" s="908"/>
      <c r="I348" s="908"/>
      <c r="J348" s="1016"/>
      <c r="K348" s="900"/>
      <c r="L348" s="900"/>
    </row>
    <row r="349" spans="1:12" ht="15.75" customHeight="1">
      <c r="A349" s="908"/>
      <c r="B349" s="908"/>
      <c r="C349" s="908"/>
      <c r="D349" s="908"/>
      <c r="E349" s="908"/>
      <c r="F349" s="908"/>
      <c r="G349" s="908"/>
      <c r="H349" s="908"/>
      <c r="I349" s="908"/>
      <c r="J349" s="1016"/>
      <c r="K349" s="900"/>
      <c r="L349" s="900"/>
    </row>
    <row r="350" spans="1:12" ht="15.75" customHeight="1">
      <c r="A350" s="908"/>
      <c r="B350" s="908"/>
      <c r="C350" s="908"/>
      <c r="D350" s="908"/>
      <c r="E350" s="908"/>
      <c r="F350" s="908"/>
      <c r="G350" s="908"/>
      <c r="H350" s="908"/>
      <c r="I350" s="908"/>
      <c r="J350" s="1016"/>
      <c r="K350" s="900"/>
      <c r="L350" s="900"/>
    </row>
    <row r="351" spans="1:12" ht="15.75" customHeight="1">
      <c r="A351" s="908"/>
      <c r="B351" s="908"/>
      <c r="C351" s="908"/>
      <c r="D351" s="908"/>
      <c r="E351" s="908"/>
      <c r="F351" s="908"/>
      <c r="G351" s="908"/>
      <c r="H351" s="908"/>
      <c r="I351" s="908"/>
      <c r="J351" s="1016"/>
      <c r="K351" s="900"/>
      <c r="L351" s="900"/>
    </row>
    <row r="352" spans="1:12" ht="15.75" customHeight="1">
      <c r="A352" s="908"/>
      <c r="B352" s="908"/>
      <c r="C352" s="908"/>
      <c r="D352" s="908"/>
      <c r="E352" s="908"/>
      <c r="F352" s="908"/>
      <c r="G352" s="908"/>
      <c r="H352" s="908"/>
      <c r="I352" s="908"/>
      <c r="J352" s="1016"/>
      <c r="K352" s="900"/>
      <c r="L352" s="900"/>
    </row>
    <row r="353" spans="1:12" ht="15.75" customHeight="1">
      <c r="A353" s="908"/>
      <c r="B353" s="908"/>
      <c r="C353" s="908"/>
      <c r="D353" s="908"/>
      <c r="E353" s="908"/>
      <c r="F353" s="908"/>
      <c r="G353" s="908"/>
      <c r="H353" s="908"/>
      <c r="I353" s="908"/>
      <c r="J353" s="1016"/>
      <c r="K353" s="900"/>
      <c r="L353" s="900"/>
    </row>
    <row r="354" spans="1:12" ht="15.75" customHeight="1">
      <c r="A354" s="908"/>
      <c r="B354" s="908"/>
      <c r="C354" s="908"/>
      <c r="D354" s="908"/>
      <c r="E354" s="908"/>
      <c r="F354" s="908"/>
      <c r="G354" s="908"/>
      <c r="H354" s="908"/>
      <c r="I354" s="908"/>
      <c r="J354" s="1016"/>
      <c r="K354" s="900"/>
      <c r="L354" s="900"/>
    </row>
    <row r="355" spans="1:12" ht="15.75" customHeight="1">
      <c r="A355" s="908"/>
      <c r="B355" s="908"/>
      <c r="C355" s="908"/>
      <c r="D355" s="908"/>
      <c r="E355" s="908"/>
      <c r="F355" s="908"/>
      <c r="G355" s="908"/>
      <c r="H355" s="908"/>
      <c r="I355" s="908"/>
      <c r="J355" s="1016"/>
      <c r="K355" s="900"/>
      <c r="L355" s="900"/>
    </row>
    <row r="356" spans="1:12" ht="15.75" customHeight="1">
      <c r="A356" s="908"/>
      <c r="B356" s="908"/>
      <c r="C356" s="908"/>
      <c r="D356" s="908"/>
      <c r="E356" s="908"/>
      <c r="F356" s="908"/>
      <c r="G356" s="908"/>
      <c r="H356" s="908"/>
      <c r="I356" s="908"/>
      <c r="J356" s="1016"/>
      <c r="K356" s="900"/>
      <c r="L356" s="900"/>
    </row>
    <row r="357" spans="1:12" ht="15.75" customHeight="1">
      <c r="A357" s="908"/>
      <c r="B357" s="908"/>
      <c r="C357" s="908"/>
      <c r="D357" s="908"/>
      <c r="E357" s="908"/>
      <c r="F357" s="908"/>
      <c r="G357" s="908"/>
      <c r="H357" s="908"/>
      <c r="I357" s="908"/>
      <c r="J357" s="1016"/>
      <c r="K357" s="900"/>
      <c r="L357" s="900"/>
    </row>
    <row r="358" spans="1:12" ht="15.75" customHeight="1">
      <c r="A358" s="908"/>
      <c r="B358" s="908"/>
      <c r="C358" s="908"/>
      <c r="D358" s="908"/>
      <c r="E358" s="908"/>
      <c r="F358" s="908"/>
      <c r="G358" s="908"/>
      <c r="H358" s="908"/>
      <c r="I358" s="908"/>
      <c r="J358" s="1016"/>
      <c r="K358" s="900"/>
      <c r="L358" s="900"/>
    </row>
    <row r="359" spans="1:12" ht="15.75" customHeight="1">
      <c r="A359" s="908"/>
      <c r="B359" s="908"/>
      <c r="C359" s="908"/>
      <c r="D359" s="908"/>
      <c r="E359" s="908"/>
      <c r="F359" s="908"/>
      <c r="G359" s="908"/>
      <c r="H359" s="908"/>
      <c r="I359" s="908"/>
      <c r="J359" s="1016"/>
      <c r="K359" s="900"/>
      <c r="L359" s="900"/>
    </row>
    <row r="360" spans="1:12" ht="15.75" customHeight="1">
      <c r="A360" s="908"/>
      <c r="B360" s="908"/>
      <c r="C360" s="908"/>
      <c r="D360" s="908"/>
      <c r="E360" s="908"/>
      <c r="F360" s="908"/>
      <c r="G360" s="908"/>
      <c r="H360" s="908"/>
      <c r="I360" s="908"/>
      <c r="J360" s="1016"/>
      <c r="K360" s="900"/>
      <c r="L360" s="900"/>
    </row>
    <row r="361" spans="1:12" ht="15.75" customHeight="1">
      <c r="A361" s="908"/>
      <c r="B361" s="908"/>
      <c r="C361" s="908"/>
      <c r="D361" s="908"/>
      <c r="E361" s="908"/>
      <c r="F361" s="908"/>
      <c r="G361" s="908"/>
      <c r="H361" s="908"/>
      <c r="I361" s="908"/>
      <c r="J361" s="1016"/>
      <c r="K361" s="900"/>
      <c r="L361" s="900"/>
    </row>
    <row r="362" spans="1:12" ht="15.75" customHeight="1">
      <c r="A362" s="908"/>
      <c r="B362" s="908"/>
      <c r="C362" s="908"/>
      <c r="D362" s="908"/>
      <c r="E362" s="908"/>
      <c r="F362" s="908"/>
      <c r="G362" s="908"/>
      <c r="H362" s="908"/>
      <c r="I362" s="908"/>
      <c r="J362" s="1016"/>
      <c r="K362" s="900"/>
      <c r="L362" s="900"/>
    </row>
    <row r="363" spans="1:12" ht="15.75" customHeight="1">
      <c r="A363" s="908"/>
      <c r="B363" s="908"/>
      <c r="C363" s="908"/>
      <c r="D363" s="908"/>
      <c r="E363" s="908"/>
      <c r="F363" s="908"/>
      <c r="G363" s="908"/>
      <c r="H363" s="908"/>
      <c r="I363" s="908"/>
      <c r="J363" s="1016"/>
      <c r="K363" s="900"/>
      <c r="L363" s="900"/>
    </row>
    <row r="364" spans="1:12" ht="15.75" customHeight="1">
      <c r="A364" s="908"/>
      <c r="B364" s="908"/>
      <c r="C364" s="908"/>
      <c r="D364" s="908"/>
      <c r="E364" s="908"/>
      <c r="F364" s="908"/>
      <c r="G364" s="908"/>
      <c r="H364" s="908"/>
      <c r="I364" s="908"/>
      <c r="J364" s="1016"/>
      <c r="K364" s="900"/>
      <c r="L364" s="900"/>
    </row>
    <row r="365" spans="1:12" ht="15.75" customHeight="1">
      <c r="A365" s="908"/>
      <c r="B365" s="908"/>
      <c r="C365" s="908"/>
      <c r="D365" s="908"/>
      <c r="E365" s="908"/>
      <c r="F365" s="908"/>
      <c r="G365" s="908"/>
      <c r="H365" s="908"/>
      <c r="I365" s="908"/>
      <c r="J365" s="1016"/>
      <c r="K365" s="900"/>
      <c r="L365" s="900"/>
    </row>
    <row r="366" spans="1:12" ht="15.75" customHeight="1">
      <c r="A366" s="908"/>
      <c r="B366" s="908"/>
      <c r="C366" s="908"/>
      <c r="D366" s="908"/>
      <c r="E366" s="908"/>
      <c r="F366" s="908"/>
      <c r="G366" s="908"/>
      <c r="H366" s="908"/>
      <c r="I366" s="908"/>
      <c r="J366" s="1016"/>
      <c r="K366" s="900"/>
      <c r="L366" s="900"/>
    </row>
    <row r="367" spans="1:12" ht="15.75" customHeight="1">
      <c r="A367" s="908"/>
      <c r="B367" s="908"/>
      <c r="C367" s="908"/>
      <c r="D367" s="908"/>
      <c r="E367" s="908"/>
      <c r="F367" s="908"/>
      <c r="G367" s="908"/>
      <c r="H367" s="908"/>
      <c r="I367" s="908"/>
      <c r="J367" s="1016"/>
      <c r="K367" s="900"/>
      <c r="L367" s="900"/>
    </row>
    <row r="368" spans="1:12" ht="15.75" customHeight="1">
      <c r="A368" s="908"/>
      <c r="B368" s="908"/>
      <c r="C368" s="908"/>
      <c r="D368" s="908"/>
      <c r="E368" s="908"/>
      <c r="F368" s="908"/>
      <c r="G368" s="908"/>
      <c r="H368" s="908"/>
      <c r="I368" s="908"/>
      <c r="J368" s="1016"/>
      <c r="K368" s="900"/>
      <c r="L368" s="900"/>
    </row>
    <row r="369" spans="1:12" ht="15.75" customHeight="1">
      <c r="A369" s="908"/>
      <c r="B369" s="908"/>
      <c r="C369" s="908"/>
      <c r="D369" s="908"/>
      <c r="E369" s="908"/>
      <c r="F369" s="908"/>
      <c r="G369" s="908"/>
      <c r="H369" s="908"/>
      <c r="I369" s="908"/>
      <c r="J369" s="1016"/>
      <c r="K369" s="900"/>
      <c r="L369" s="900"/>
    </row>
    <row r="370" spans="1:12" ht="15.75" customHeight="1">
      <c r="A370" s="908"/>
      <c r="B370" s="908"/>
      <c r="C370" s="908"/>
      <c r="D370" s="908"/>
      <c r="E370" s="908"/>
      <c r="F370" s="908"/>
      <c r="G370" s="908"/>
      <c r="H370" s="908"/>
      <c r="I370" s="908"/>
      <c r="J370" s="1016"/>
      <c r="K370" s="900"/>
      <c r="L370" s="900"/>
    </row>
    <row r="371" spans="1:12" ht="15.75" customHeight="1">
      <c r="A371" s="908"/>
      <c r="B371" s="908"/>
      <c r="C371" s="908"/>
      <c r="D371" s="908"/>
      <c r="E371" s="908"/>
      <c r="F371" s="908"/>
      <c r="G371" s="908"/>
      <c r="H371" s="908"/>
      <c r="I371" s="908"/>
      <c r="J371" s="1016"/>
      <c r="K371" s="900"/>
      <c r="L371" s="900"/>
    </row>
    <row r="372" spans="1:12" ht="15.75" customHeight="1">
      <c r="A372" s="908"/>
      <c r="B372" s="908"/>
      <c r="C372" s="908"/>
      <c r="D372" s="908"/>
      <c r="E372" s="908"/>
      <c r="F372" s="908"/>
      <c r="G372" s="908"/>
      <c r="H372" s="908"/>
      <c r="I372" s="908"/>
      <c r="J372" s="1016"/>
      <c r="K372" s="900"/>
      <c r="L372" s="900"/>
    </row>
    <row r="373" spans="1:12" ht="15.75" customHeight="1">
      <c r="A373" s="908"/>
      <c r="B373" s="908"/>
      <c r="C373" s="908"/>
      <c r="D373" s="908"/>
      <c r="E373" s="908"/>
      <c r="F373" s="908"/>
      <c r="G373" s="908"/>
      <c r="H373" s="908"/>
      <c r="I373" s="908"/>
      <c r="J373" s="1016"/>
      <c r="K373" s="900"/>
      <c r="L373" s="900"/>
    </row>
    <row r="374" spans="1:12" ht="15.75" customHeight="1">
      <c r="A374" s="908"/>
      <c r="B374" s="908"/>
      <c r="C374" s="908"/>
      <c r="D374" s="908"/>
      <c r="E374" s="908"/>
      <c r="F374" s="908"/>
      <c r="G374" s="908"/>
      <c r="H374" s="908"/>
      <c r="I374" s="908"/>
      <c r="J374" s="1016"/>
      <c r="K374" s="900"/>
      <c r="L374" s="900"/>
    </row>
    <row r="375" spans="1:12" ht="15.75" customHeight="1">
      <c r="A375" s="908"/>
      <c r="B375" s="908"/>
      <c r="C375" s="908"/>
      <c r="D375" s="908"/>
      <c r="E375" s="908"/>
      <c r="F375" s="908"/>
      <c r="G375" s="908"/>
      <c r="H375" s="908"/>
      <c r="I375" s="908"/>
      <c r="J375" s="1016"/>
      <c r="K375" s="900"/>
      <c r="L375" s="900"/>
    </row>
    <row r="376" spans="1:12" ht="15.75" customHeight="1">
      <c r="A376" s="908"/>
      <c r="B376" s="908"/>
      <c r="C376" s="908"/>
      <c r="D376" s="908"/>
      <c r="E376" s="908"/>
      <c r="F376" s="908"/>
      <c r="G376" s="908"/>
      <c r="H376" s="908"/>
      <c r="I376" s="908"/>
      <c r="J376" s="1016"/>
      <c r="K376" s="900"/>
      <c r="L376" s="900"/>
    </row>
    <row r="377" spans="1:12" ht="15.75" customHeight="1">
      <c r="A377" s="908"/>
      <c r="B377" s="908"/>
      <c r="C377" s="908"/>
      <c r="D377" s="908"/>
      <c r="E377" s="908"/>
      <c r="F377" s="908"/>
      <c r="G377" s="908"/>
      <c r="H377" s="908"/>
      <c r="I377" s="908"/>
      <c r="J377" s="1016"/>
      <c r="K377" s="900"/>
      <c r="L377" s="900"/>
    </row>
    <row r="378" spans="1:12" ht="15.75" customHeight="1">
      <c r="A378" s="908"/>
      <c r="B378" s="908"/>
      <c r="C378" s="908"/>
      <c r="D378" s="908"/>
      <c r="E378" s="908"/>
      <c r="F378" s="908"/>
      <c r="G378" s="908"/>
      <c r="H378" s="908"/>
      <c r="I378" s="908"/>
      <c r="J378" s="1016"/>
      <c r="K378" s="900"/>
      <c r="L378" s="900"/>
    </row>
    <row r="379" spans="1:12" ht="15.75" customHeight="1">
      <c r="A379" s="908"/>
      <c r="B379" s="908"/>
      <c r="C379" s="908"/>
      <c r="D379" s="908"/>
      <c r="E379" s="908"/>
      <c r="F379" s="908"/>
      <c r="G379" s="908"/>
      <c r="H379" s="908"/>
      <c r="I379" s="908"/>
      <c r="J379" s="1016"/>
      <c r="K379" s="900"/>
      <c r="L379" s="900"/>
    </row>
    <row r="380" spans="1:12" ht="15.75" customHeight="1">
      <c r="A380" s="908"/>
      <c r="B380" s="908"/>
      <c r="C380" s="908"/>
      <c r="D380" s="908"/>
      <c r="E380" s="908"/>
      <c r="F380" s="908"/>
      <c r="G380" s="908"/>
      <c r="H380" s="908"/>
      <c r="I380" s="908"/>
      <c r="J380" s="1016"/>
      <c r="K380" s="900"/>
      <c r="L380" s="900"/>
    </row>
    <row r="381" spans="1:12" ht="15.75" customHeight="1">
      <c r="A381" s="908"/>
      <c r="B381" s="908"/>
      <c r="C381" s="908"/>
      <c r="D381" s="908"/>
      <c r="E381" s="908"/>
      <c r="F381" s="908"/>
      <c r="G381" s="908"/>
      <c r="H381" s="908"/>
      <c r="I381" s="908"/>
      <c r="J381" s="1016"/>
      <c r="K381" s="900"/>
      <c r="L381" s="900"/>
    </row>
    <row r="382" spans="1:12" ht="15.75" customHeight="1">
      <c r="A382" s="908"/>
      <c r="B382" s="908"/>
      <c r="C382" s="908"/>
      <c r="D382" s="908"/>
      <c r="E382" s="908"/>
      <c r="F382" s="908"/>
      <c r="G382" s="908"/>
      <c r="H382" s="908"/>
      <c r="I382" s="908"/>
      <c r="J382" s="1016"/>
      <c r="K382" s="900"/>
      <c r="L382" s="900"/>
    </row>
    <row r="383" spans="1:12" ht="15.75" customHeight="1">
      <c r="A383" s="908"/>
      <c r="B383" s="908"/>
      <c r="C383" s="908"/>
      <c r="D383" s="908"/>
      <c r="E383" s="908"/>
      <c r="F383" s="908"/>
      <c r="G383" s="908"/>
      <c r="H383" s="908"/>
      <c r="I383" s="908"/>
      <c r="J383" s="1016"/>
      <c r="K383" s="900"/>
      <c r="L383" s="900"/>
    </row>
    <row r="384" spans="1:12" ht="15.75" customHeight="1">
      <c r="A384" s="908"/>
      <c r="B384" s="908"/>
      <c r="C384" s="908"/>
      <c r="D384" s="908"/>
      <c r="E384" s="908"/>
      <c r="F384" s="908"/>
      <c r="G384" s="908"/>
      <c r="H384" s="908"/>
      <c r="I384" s="908"/>
      <c r="J384" s="1016"/>
      <c r="K384" s="900"/>
      <c r="L384" s="900"/>
    </row>
    <row r="385" spans="1:12" ht="15.75" customHeight="1">
      <c r="A385" s="908"/>
      <c r="B385" s="908"/>
      <c r="C385" s="908"/>
      <c r="D385" s="908"/>
      <c r="E385" s="908"/>
      <c r="F385" s="908"/>
      <c r="G385" s="908"/>
      <c r="H385" s="908"/>
      <c r="I385" s="908"/>
      <c r="J385" s="1016"/>
      <c r="K385" s="900"/>
      <c r="L385" s="900"/>
    </row>
    <row r="386" spans="1:12" ht="15.75" customHeight="1">
      <c r="A386" s="908"/>
      <c r="B386" s="908"/>
      <c r="C386" s="908"/>
      <c r="D386" s="908"/>
      <c r="E386" s="908"/>
      <c r="F386" s="908"/>
      <c r="G386" s="908"/>
      <c r="H386" s="908"/>
      <c r="I386" s="908"/>
      <c r="J386" s="1016"/>
      <c r="K386" s="900"/>
      <c r="L386" s="900"/>
    </row>
    <row r="387" spans="1:12" ht="15.75" customHeight="1">
      <c r="A387" s="908"/>
      <c r="B387" s="908"/>
      <c r="C387" s="908"/>
      <c r="D387" s="908"/>
      <c r="E387" s="908"/>
      <c r="F387" s="908"/>
      <c r="G387" s="908"/>
      <c r="H387" s="908"/>
      <c r="I387" s="908"/>
      <c r="J387" s="1016"/>
      <c r="K387" s="900"/>
      <c r="L387" s="900"/>
    </row>
    <row r="388" spans="1:12" ht="15.75" customHeight="1">
      <c r="A388" s="908"/>
      <c r="B388" s="908"/>
      <c r="C388" s="908"/>
      <c r="D388" s="908"/>
      <c r="E388" s="908"/>
      <c r="F388" s="908"/>
      <c r="G388" s="908"/>
      <c r="H388" s="908"/>
      <c r="I388" s="908"/>
      <c r="J388" s="1016"/>
      <c r="K388" s="900"/>
      <c r="L388" s="900"/>
    </row>
    <row r="389" spans="1:12" ht="15.75" customHeight="1">
      <c r="A389" s="908"/>
      <c r="B389" s="908"/>
      <c r="C389" s="908"/>
      <c r="D389" s="908"/>
      <c r="E389" s="908"/>
      <c r="F389" s="908"/>
      <c r="G389" s="908"/>
      <c r="H389" s="908"/>
      <c r="I389" s="908"/>
      <c r="J389" s="1016"/>
      <c r="K389" s="900"/>
      <c r="L389" s="900"/>
    </row>
    <row r="390" spans="1:12" ht="15.75" customHeight="1">
      <c r="A390" s="908"/>
      <c r="B390" s="908"/>
      <c r="C390" s="908"/>
      <c r="D390" s="908"/>
      <c r="E390" s="908"/>
      <c r="F390" s="908"/>
      <c r="G390" s="908"/>
      <c r="H390" s="908"/>
      <c r="I390" s="908"/>
      <c r="J390" s="1016"/>
      <c r="K390" s="900"/>
      <c r="L390" s="900"/>
    </row>
    <row r="391" spans="1:12" ht="15.75" customHeight="1">
      <c r="A391" s="908"/>
      <c r="B391" s="908"/>
      <c r="C391" s="908"/>
      <c r="D391" s="908"/>
      <c r="E391" s="908"/>
      <c r="F391" s="908"/>
      <c r="G391" s="908"/>
      <c r="H391" s="908"/>
      <c r="I391" s="908"/>
      <c r="J391" s="1016"/>
      <c r="K391" s="900"/>
      <c r="L391" s="900"/>
    </row>
    <row r="392" spans="1:12" ht="15.75" customHeight="1">
      <c r="A392" s="908"/>
      <c r="B392" s="908"/>
      <c r="C392" s="908"/>
      <c r="D392" s="908"/>
      <c r="E392" s="908"/>
      <c r="F392" s="908"/>
      <c r="G392" s="908"/>
      <c r="H392" s="908"/>
      <c r="I392" s="908"/>
      <c r="J392" s="1016"/>
      <c r="K392" s="900"/>
      <c r="L392" s="900"/>
    </row>
    <row r="393" spans="1:12" ht="15.75" customHeight="1">
      <c r="A393" s="908"/>
      <c r="B393" s="908"/>
      <c r="C393" s="908"/>
      <c r="D393" s="908"/>
      <c r="E393" s="908"/>
      <c r="F393" s="908"/>
      <c r="G393" s="908"/>
      <c r="H393" s="908"/>
      <c r="I393" s="908"/>
      <c r="J393" s="1016"/>
      <c r="K393" s="900"/>
      <c r="L393" s="900"/>
    </row>
    <row r="394" spans="1:12" ht="15.75" customHeight="1">
      <c r="A394" s="908"/>
      <c r="B394" s="908"/>
      <c r="C394" s="908"/>
      <c r="D394" s="908"/>
      <c r="E394" s="908"/>
      <c r="F394" s="908"/>
      <c r="G394" s="908"/>
      <c r="H394" s="908"/>
      <c r="I394" s="908"/>
      <c r="J394" s="1016"/>
      <c r="K394" s="900"/>
      <c r="L394" s="900"/>
    </row>
    <row r="395" spans="1:12" ht="15.75" customHeight="1">
      <c r="A395" s="908"/>
      <c r="B395" s="908"/>
      <c r="C395" s="908"/>
      <c r="D395" s="908"/>
      <c r="E395" s="908"/>
      <c r="F395" s="908"/>
      <c r="G395" s="908"/>
      <c r="H395" s="908"/>
      <c r="I395" s="908"/>
      <c r="J395" s="1016"/>
      <c r="K395" s="900"/>
      <c r="L395" s="900"/>
    </row>
    <row r="396" spans="1:12" ht="15.75" customHeight="1">
      <c r="A396" s="908"/>
      <c r="B396" s="908"/>
      <c r="C396" s="908"/>
      <c r="D396" s="908"/>
      <c r="E396" s="908"/>
      <c r="F396" s="908"/>
      <c r="G396" s="908"/>
      <c r="H396" s="908"/>
      <c r="I396" s="908"/>
      <c r="J396" s="1016"/>
      <c r="K396" s="900"/>
      <c r="L396" s="900"/>
    </row>
    <row r="397" spans="1:12" ht="15.75" customHeight="1">
      <c r="A397" s="908"/>
      <c r="B397" s="908"/>
      <c r="C397" s="908"/>
      <c r="D397" s="908"/>
      <c r="E397" s="908"/>
      <c r="F397" s="908"/>
      <c r="G397" s="908"/>
      <c r="H397" s="908"/>
      <c r="I397" s="908"/>
      <c r="J397" s="1016"/>
      <c r="K397" s="900"/>
      <c r="L397" s="900"/>
    </row>
    <row r="398" spans="1:12" ht="15.75" customHeight="1">
      <c r="A398" s="908"/>
      <c r="B398" s="908"/>
      <c r="C398" s="908"/>
      <c r="D398" s="908"/>
      <c r="E398" s="908"/>
      <c r="F398" s="908"/>
      <c r="G398" s="908"/>
      <c r="H398" s="908"/>
      <c r="I398" s="908"/>
      <c r="J398" s="1016"/>
      <c r="K398" s="900"/>
      <c r="L398" s="900"/>
    </row>
    <row r="399" spans="1:12" ht="15.75" customHeight="1">
      <c r="A399" s="908"/>
      <c r="B399" s="908"/>
      <c r="C399" s="908"/>
      <c r="D399" s="908"/>
      <c r="E399" s="908"/>
      <c r="F399" s="908"/>
      <c r="G399" s="908"/>
      <c r="H399" s="908"/>
      <c r="I399" s="908"/>
      <c r="J399" s="1016"/>
      <c r="K399" s="900"/>
      <c r="L399" s="900"/>
    </row>
    <row r="400" spans="1:12" ht="15.75" customHeight="1">
      <c r="A400" s="908"/>
      <c r="B400" s="908"/>
      <c r="C400" s="908"/>
      <c r="D400" s="908"/>
      <c r="E400" s="908"/>
      <c r="F400" s="908"/>
      <c r="G400" s="908"/>
      <c r="H400" s="908"/>
      <c r="I400" s="908"/>
      <c r="J400" s="1016"/>
      <c r="K400" s="900"/>
      <c r="L400" s="900"/>
    </row>
    <row r="401" spans="1:12" ht="15.75" customHeight="1">
      <c r="A401" s="908"/>
      <c r="B401" s="908"/>
      <c r="C401" s="908"/>
      <c r="D401" s="908"/>
      <c r="E401" s="908"/>
      <c r="F401" s="908"/>
      <c r="G401" s="908"/>
      <c r="H401" s="908"/>
      <c r="I401" s="908"/>
      <c r="J401" s="1016"/>
      <c r="K401" s="900"/>
      <c r="L401" s="900"/>
    </row>
    <row r="402" spans="1:12" ht="15.75" customHeight="1">
      <c r="A402" s="908"/>
      <c r="B402" s="908"/>
      <c r="C402" s="908"/>
      <c r="D402" s="908"/>
      <c r="E402" s="908"/>
      <c r="F402" s="908"/>
      <c r="G402" s="908"/>
      <c r="H402" s="908"/>
      <c r="I402" s="908"/>
      <c r="J402" s="1016"/>
      <c r="K402" s="900"/>
      <c r="L402" s="900"/>
    </row>
    <row r="403" spans="1:12" ht="15.75" customHeight="1">
      <c r="A403" s="908"/>
      <c r="B403" s="908"/>
      <c r="C403" s="908"/>
      <c r="D403" s="908"/>
      <c r="E403" s="908"/>
      <c r="F403" s="908"/>
      <c r="G403" s="908"/>
      <c r="H403" s="908"/>
      <c r="I403" s="908"/>
      <c r="J403" s="1016"/>
      <c r="K403" s="900"/>
      <c r="L403" s="900"/>
    </row>
    <row r="404" spans="1:12" ht="15.75" customHeight="1">
      <c r="A404" s="908"/>
      <c r="B404" s="908"/>
      <c r="C404" s="908"/>
      <c r="D404" s="908"/>
      <c r="E404" s="908"/>
      <c r="F404" s="908"/>
      <c r="G404" s="908"/>
      <c r="H404" s="908"/>
      <c r="I404" s="908"/>
      <c r="J404" s="1016"/>
      <c r="K404" s="900"/>
      <c r="L404" s="900"/>
    </row>
    <row r="405" spans="1:12" ht="15.75" customHeight="1">
      <c r="A405" s="908"/>
      <c r="B405" s="908"/>
      <c r="C405" s="908"/>
      <c r="D405" s="908"/>
      <c r="E405" s="908"/>
      <c r="F405" s="908"/>
      <c r="G405" s="908"/>
      <c r="H405" s="908"/>
      <c r="I405" s="908"/>
      <c r="J405" s="1016"/>
      <c r="K405" s="900"/>
      <c r="L405" s="900"/>
    </row>
    <row r="406" spans="1:12" ht="15.75" customHeight="1">
      <c r="A406" s="908"/>
      <c r="B406" s="908"/>
      <c r="C406" s="908"/>
      <c r="D406" s="908"/>
      <c r="E406" s="908"/>
      <c r="F406" s="908"/>
      <c r="G406" s="908"/>
      <c r="H406" s="908"/>
      <c r="I406" s="908"/>
      <c r="J406" s="1016"/>
      <c r="K406" s="900"/>
      <c r="L406" s="900"/>
    </row>
    <row r="407" spans="1:12" ht="15.75" customHeight="1">
      <c r="A407" s="908"/>
      <c r="B407" s="908"/>
      <c r="C407" s="908"/>
      <c r="D407" s="908"/>
      <c r="E407" s="908"/>
      <c r="F407" s="908"/>
      <c r="G407" s="908"/>
      <c r="H407" s="908"/>
      <c r="I407" s="908"/>
      <c r="J407" s="1016"/>
      <c r="K407" s="900"/>
      <c r="L407" s="900"/>
    </row>
    <row r="408" spans="1:12" ht="15.75" customHeight="1">
      <c r="A408" s="908"/>
      <c r="B408" s="908"/>
      <c r="C408" s="908"/>
      <c r="D408" s="908"/>
      <c r="E408" s="908"/>
      <c r="F408" s="908"/>
      <c r="G408" s="908"/>
      <c r="H408" s="908"/>
      <c r="I408" s="908"/>
      <c r="J408" s="1016"/>
      <c r="K408" s="900"/>
      <c r="L408" s="900"/>
    </row>
    <row r="409" spans="1:12" ht="15.75" customHeight="1">
      <c r="A409" s="908"/>
      <c r="B409" s="908"/>
      <c r="C409" s="908"/>
      <c r="D409" s="908"/>
      <c r="E409" s="908"/>
      <c r="F409" s="908"/>
      <c r="G409" s="908"/>
      <c r="H409" s="908"/>
      <c r="I409" s="908"/>
      <c r="J409" s="1016"/>
      <c r="K409" s="900"/>
      <c r="L409" s="900"/>
    </row>
    <row r="410" spans="1:12" ht="15.75" customHeight="1">
      <c r="A410" s="908"/>
      <c r="B410" s="908"/>
      <c r="C410" s="908"/>
      <c r="D410" s="908"/>
      <c r="E410" s="908"/>
      <c r="F410" s="908"/>
      <c r="G410" s="908"/>
      <c r="H410" s="908"/>
      <c r="I410" s="908"/>
      <c r="J410" s="1016"/>
      <c r="K410" s="900"/>
      <c r="L410" s="900"/>
    </row>
    <row r="411" spans="1:12" ht="15.75" customHeight="1">
      <c r="A411" s="908"/>
      <c r="B411" s="908"/>
      <c r="C411" s="908"/>
      <c r="D411" s="908"/>
      <c r="E411" s="908"/>
      <c r="F411" s="908"/>
      <c r="G411" s="908"/>
      <c r="H411" s="908"/>
      <c r="I411" s="908"/>
      <c r="J411" s="1016"/>
      <c r="K411" s="900"/>
      <c r="L411" s="900"/>
    </row>
    <row r="412" spans="1:12" ht="15.75" customHeight="1">
      <c r="A412" s="908"/>
      <c r="B412" s="908"/>
      <c r="C412" s="908"/>
      <c r="D412" s="908"/>
      <c r="E412" s="908"/>
      <c r="F412" s="908"/>
      <c r="G412" s="908"/>
      <c r="H412" s="908"/>
      <c r="I412" s="908"/>
      <c r="J412" s="1016"/>
      <c r="K412" s="900"/>
      <c r="L412" s="900"/>
    </row>
    <row r="413" spans="1:12" ht="15.75" customHeight="1">
      <c r="A413" s="908"/>
      <c r="B413" s="908"/>
      <c r="C413" s="908"/>
      <c r="D413" s="908"/>
      <c r="E413" s="908"/>
      <c r="F413" s="908"/>
      <c r="G413" s="908"/>
      <c r="H413" s="908"/>
      <c r="I413" s="908"/>
      <c r="J413" s="1016"/>
      <c r="K413" s="900"/>
      <c r="L413" s="900"/>
    </row>
    <row r="414" spans="1:12" ht="15.75" customHeight="1">
      <c r="A414" s="908"/>
      <c r="B414" s="908"/>
      <c r="C414" s="908"/>
      <c r="D414" s="908"/>
      <c r="E414" s="908"/>
      <c r="F414" s="908"/>
      <c r="G414" s="908"/>
      <c r="H414" s="908"/>
      <c r="I414" s="908"/>
      <c r="J414" s="1016"/>
      <c r="K414" s="900"/>
      <c r="L414" s="900"/>
    </row>
    <row r="415" spans="1:12" ht="15.75" customHeight="1">
      <c r="A415" s="908"/>
      <c r="B415" s="908"/>
      <c r="C415" s="908"/>
      <c r="D415" s="908"/>
      <c r="E415" s="908"/>
      <c r="F415" s="908"/>
      <c r="G415" s="908"/>
      <c r="H415" s="908"/>
      <c r="I415" s="908"/>
      <c r="J415" s="1016"/>
      <c r="K415" s="900"/>
      <c r="L415" s="900"/>
    </row>
    <row r="416" spans="1:12" ht="15.75" customHeight="1">
      <c r="A416" s="908"/>
      <c r="B416" s="908"/>
      <c r="C416" s="908"/>
      <c r="D416" s="908"/>
      <c r="E416" s="908"/>
      <c r="F416" s="908"/>
      <c r="G416" s="908"/>
      <c r="H416" s="908"/>
      <c r="I416" s="908"/>
      <c r="J416" s="1016"/>
      <c r="K416" s="900"/>
      <c r="L416" s="900"/>
    </row>
    <row r="417" spans="1:12" ht="15.75" customHeight="1">
      <c r="A417" s="908"/>
      <c r="B417" s="908"/>
      <c r="C417" s="908"/>
      <c r="D417" s="908"/>
      <c r="E417" s="908"/>
      <c r="F417" s="908"/>
      <c r="G417" s="908"/>
      <c r="H417" s="908"/>
      <c r="I417" s="908"/>
      <c r="J417" s="1016"/>
      <c r="K417" s="900"/>
      <c r="L417" s="900"/>
    </row>
    <row r="418" spans="1:12" ht="15.75" customHeight="1">
      <c r="A418" s="908"/>
      <c r="B418" s="908"/>
      <c r="C418" s="908"/>
      <c r="D418" s="908"/>
      <c r="E418" s="908"/>
      <c r="F418" s="908"/>
      <c r="G418" s="908"/>
      <c r="H418" s="908"/>
      <c r="I418" s="908"/>
      <c r="J418" s="1016"/>
      <c r="K418" s="900"/>
      <c r="L418" s="900"/>
    </row>
    <row r="419" spans="1:12" ht="15.75" customHeight="1">
      <c r="A419" s="908"/>
      <c r="B419" s="908"/>
      <c r="C419" s="908"/>
      <c r="D419" s="908"/>
      <c r="E419" s="908"/>
      <c r="F419" s="908"/>
      <c r="G419" s="908"/>
      <c r="H419" s="908"/>
      <c r="I419" s="908"/>
      <c r="J419" s="1016"/>
      <c r="K419" s="900"/>
      <c r="L419" s="900"/>
    </row>
    <row r="420" spans="1:12" ht="15.75" customHeight="1">
      <c r="A420" s="908"/>
      <c r="B420" s="908"/>
      <c r="C420" s="908"/>
      <c r="D420" s="908"/>
      <c r="E420" s="908"/>
      <c r="F420" s="908"/>
      <c r="G420" s="908"/>
      <c r="H420" s="908"/>
      <c r="I420" s="908"/>
      <c r="J420" s="1016"/>
      <c r="K420" s="900"/>
      <c r="L420" s="900"/>
    </row>
    <row r="421" spans="1:12" ht="15.75" customHeight="1">
      <c r="A421" s="908"/>
      <c r="B421" s="908"/>
      <c r="C421" s="908"/>
      <c r="D421" s="908"/>
      <c r="E421" s="908"/>
      <c r="F421" s="908"/>
      <c r="G421" s="908"/>
      <c r="H421" s="908"/>
      <c r="I421" s="908"/>
      <c r="J421" s="1016"/>
      <c r="K421" s="900"/>
      <c r="L421" s="900"/>
    </row>
    <row r="422" spans="1:12" ht="15.75" customHeight="1">
      <c r="A422" s="908"/>
      <c r="B422" s="908"/>
      <c r="C422" s="908"/>
      <c r="D422" s="908"/>
      <c r="E422" s="908"/>
      <c r="F422" s="908"/>
      <c r="G422" s="908"/>
      <c r="H422" s="908"/>
      <c r="I422" s="908"/>
      <c r="J422" s="1016"/>
      <c r="K422" s="900"/>
      <c r="L422" s="900"/>
    </row>
    <row r="423" spans="1:12" ht="15.75" customHeight="1">
      <c r="A423" s="908"/>
      <c r="B423" s="908"/>
      <c r="C423" s="908"/>
      <c r="D423" s="908"/>
      <c r="E423" s="908"/>
      <c r="F423" s="908"/>
      <c r="G423" s="908"/>
      <c r="H423" s="908"/>
      <c r="I423" s="908"/>
      <c r="J423" s="1016"/>
      <c r="K423" s="900"/>
      <c r="L423" s="900"/>
    </row>
    <row r="424" spans="1:12" ht="15.75" customHeight="1">
      <c r="A424" s="908"/>
      <c r="B424" s="908"/>
      <c r="C424" s="908"/>
      <c r="D424" s="908"/>
      <c r="E424" s="908"/>
      <c r="F424" s="908"/>
      <c r="G424" s="908"/>
      <c r="H424" s="908"/>
      <c r="I424" s="908"/>
      <c r="J424" s="1016"/>
      <c r="K424" s="900"/>
      <c r="L424" s="900"/>
    </row>
    <row r="425" spans="1:12" ht="15.75" customHeight="1">
      <c r="A425" s="908"/>
      <c r="B425" s="908"/>
      <c r="C425" s="908"/>
      <c r="D425" s="908"/>
      <c r="E425" s="908"/>
      <c r="F425" s="908"/>
      <c r="G425" s="908"/>
      <c r="H425" s="908"/>
      <c r="I425" s="908"/>
      <c r="J425" s="1016"/>
      <c r="K425" s="900"/>
      <c r="L425" s="900"/>
    </row>
    <row r="426" spans="1:12" ht="15.75" customHeight="1">
      <c r="A426" s="908"/>
      <c r="B426" s="908"/>
      <c r="C426" s="908"/>
      <c r="D426" s="908"/>
      <c r="E426" s="908"/>
      <c r="F426" s="908"/>
      <c r="G426" s="908"/>
      <c r="H426" s="908"/>
      <c r="I426" s="908"/>
      <c r="J426" s="1016"/>
      <c r="K426" s="900"/>
      <c r="L426" s="900"/>
    </row>
    <row r="427" spans="1:12" ht="15.75" customHeight="1">
      <c r="A427" s="908"/>
      <c r="B427" s="908"/>
      <c r="C427" s="908"/>
      <c r="D427" s="908"/>
      <c r="E427" s="908"/>
      <c r="F427" s="908"/>
      <c r="G427" s="908"/>
      <c r="H427" s="908"/>
      <c r="I427" s="908"/>
      <c r="J427" s="1016"/>
      <c r="K427" s="900"/>
      <c r="L427" s="900"/>
    </row>
    <row r="428" spans="1:12" ht="15.75" customHeight="1">
      <c r="A428" s="908"/>
      <c r="B428" s="908"/>
      <c r="C428" s="908"/>
      <c r="D428" s="908"/>
      <c r="E428" s="908"/>
      <c r="F428" s="908"/>
      <c r="G428" s="908"/>
      <c r="H428" s="908"/>
      <c r="I428" s="908"/>
      <c r="J428" s="1016"/>
      <c r="K428" s="900"/>
      <c r="L428" s="900"/>
    </row>
    <row r="429" spans="1:12" ht="15.75" customHeight="1">
      <c r="A429" s="908"/>
      <c r="B429" s="908"/>
      <c r="C429" s="908"/>
      <c r="D429" s="908"/>
      <c r="E429" s="908"/>
      <c r="F429" s="908"/>
      <c r="G429" s="908"/>
      <c r="H429" s="908"/>
      <c r="I429" s="908"/>
      <c r="J429" s="1016"/>
      <c r="K429" s="900"/>
      <c r="L429" s="900"/>
    </row>
    <row r="430" spans="1:12" ht="15.75" customHeight="1">
      <c r="A430" s="908"/>
      <c r="B430" s="908"/>
      <c r="C430" s="908"/>
      <c r="D430" s="908"/>
      <c r="E430" s="908"/>
      <c r="F430" s="908"/>
      <c r="G430" s="908"/>
      <c r="H430" s="908"/>
      <c r="I430" s="908"/>
      <c r="J430" s="1016"/>
      <c r="K430" s="900"/>
      <c r="L430" s="900"/>
    </row>
    <row r="431" spans="1:12" ht="15.75" customHeight="1">
      <c r="A431" s="908"/>
      <c r="B431" s="908"/>
      <c r="C431" s="908"/>
      <c r="D431" s="908"/>
      <c r="E431" s="908"/>
      <c r="F431" s="908"/>
      <c r="G431" s="908"/>
      <c r="H431" s="908"/>
      <c r="I431" s="908"/>
      <c r="J431" s="1016"/>
      <c r="K431" s="900"/>
      <c r="L431" s="900"/>
    </row>
    <row r="432" spans="1:12" ht="15.75" customHeight="1">
      <c r="A432" s="908"/>
      <c r="B432" s="908"/>
      <c r="C432" s="908"/>
      <c r="D432" s="908"/>
      <c r="E432" s="908"/>
      <c r="F432" s="908"/>
      <c r="G432" s="908"/>
      <c r="H432" s="908"/>
      <c r="I432" s="908"/>
      <c r="J432" s="1016"/>
      <c r="K432" s="900"/>
      <c r="L432" s="900"/>
    </row>
    <row r="433" spans="1:12" ht="15.75" customHeight="1">
      <c r="A433" s="908"/>
      <c r="B433" s="908"/>
      <c r="C433" s="908"/>
      <c r="D433" s="908"/>
      <c r="E433" s="908"/>
      <c r="F433" s="908"/>
      <c r="G433" s="908"/>
      <c r="H433" s="908"/>
      <c r="I433" s="908"/>
      <c r="J433" s="1016"/>
      <c r="K433" s="900"/>
      <c r="L433" s="900"/>
    </row>
    <row r="434" spans="1:12" ht="15.75" customHeight="1">
      <c r="A434" s="908"/>
      <c r="B434" s="908"/>
      <c r="C434" s="908"/>
      <c r="D434" s="908"/>
      <c r="E434" s="908"/>
      <c r="F434" s="908"/>
      <c r="G434" s="908"/>
      <c r="H434" s="908"/>
      <c r="I434" s="908"/>
      <c r="J434" s="1016"/>
      <c r="K434" s="900"/>
      <c r="L434" s="900"/>
    </row>
    <row r="435" spans="1:12" ht="15.75" customHeight="1">
      <c r="A435" s="908"/>
      <c r="B435" s="908"/>
      <c r="C435" s="908"/>
      <c r="D435" s="908"/>
      <c r="E435" s="908"/>
      <c r="F435" s="908"/>
      <c r="G435" s="908"/>
      <c r="H435" s="908"/>
      <c r="I435" s="908"/>
      <c r="J435" s="1016"/>
      <c r="K435" s="900"/>
      <c r="L435" s="900"/>
    </row>
    <row r="436" spans="1:12" ht="15.75" customHeight="1">
      <c r="A436" s="908"/>
      <c r="B436" s="908"/>
      <c r="C436" s="908"/>
      <c r="D436" s="908"/>
      <c r="E436" s="908"/>
      <c r="F436" s="908"/>
      <c r="G436" s="908"/>
      <c r="H436" s="908"/>
      <c r="I436" s="908"/>
      <c r="J436" s="1016"/>
      <c r="K436" s="900"/>
      <c r="L436" s="900"/>
    </row>
    <row r="437" spans="1:12" ht="15.75" customHeight="1">
      <c r="A437" s="908"/>
      <c r="B437" s="908"/>
      <c r="C437" s="908"/>
      <c r="D437" s="908"/>
      <c r="E437" s="908"/>
      <c r="F437" s="908"/>
      <c r="G437" s="908"/>
      <c r="H437" s="908"/>
      <c r="I437" s="908"/>
      <c r="J437" s="1016"/>
      <c r="K437" s="900"/>
      <c r="L437" s="900"/>
    </row>
    <row r="438" spans="1:12" ht="15.75" customHeight="1">
      <c r="A438" s="908"/>
      <c r="B438" s="908"/>
      <c r="C438" s="908"/>
      <c r="D438" s="908"/>
      <c r="E438" s="908"/>
      <c r="F438" s="908"/>
      <c r="G438" s="908"/>
      <c r="H438" s="908"/>
      <c r="I438" s="908"/>
      <c r="J438" s="1016"/>
      <c r="K438" s="900"/>
      <c r="L438" s="900"/>
    </row>
    <row r="439" spans="1:12" ht="15.75" customHeight="1">
      <c r="A439" s="908"/>
      <c r="B439" s="908"/>
      <c r="C439" s="908"/>
      <c r="D439" s="908"/>
      <c r="E439" s="908"/>
      <c r="F439" s="908"/>
      <c r="G439" s="908"/>
      <c r="H439" s="908"/>
      <c r="I439" s="908"/>
      <c r="J439" s="1016"/>
      <c r="K439" s="900"/>
      <c r="L439" s="900"/>
    </row>
    <row r="440" spans="1:12" ht="15.75" customHeight="1">
      <c r="A440" s="908"/>
      <c r="B440" s="908"/>
      <c r="C440" s="908"/>
      <c r="D440" s="908"/>
      <c r="E440" s="908"/>
      <c r="F440" s="908"/>
      <c r="G440" s="908"/>
      <c r="H440" s="908"/>
      <c r="I440" s="908"/>
      <c r="J440" s="1016"/>
      <c r="K440" s="900"/>
      <c r="L440" s="900"/>
    </row>
    <row r="441" spans="1:12" ht="15.75" customHeight="1">
      <c r="A441" s="908"/>
      <c r="B441" s="908"/>
      <c r="C441" s="908"/>
      <c r="D441" s="908"/>
      <c r="E441" s="908"/>
      <c r="F441" s="908"/>
      <c r="G441" s="908"/>
      <c r="H441" s="908"/>
      <c r="I441" s="908"/>
      <c r="J441" s="1016"/>
      <c r="K441" s="900"/>
      <c r="L441" s="900"/>
    </row>
    <row r="442" spans="1:12" ht="15.75" customHeight="1">
      <c r="A442" s="908"/>
      <c r="B442" s="908"/>
      <c r="C442" s="908"/>
      <c r="D442" s="908"/>
      <c r="E442" s="908"/>
      <c r="F442" s="908"/>
      <c r="G442" s="908"/>
      <c r="H442" s="908"/>
      <c r="I442" s="908"/>
      <c r="J442" s="1016"/>
      <c r="K442" s="900"/>
      <c r="L442" s="900"/>
    </row>
    <row r="443" spans="1:12" ht="15.75" customHeight="1">
      <c r="A443" s="908"/>
      <c r="B443" s="908"/>
      <c r="C443" s="908"/>
      <c r="D443" s="908"/>
      <c r="E443" s="908"/>
      <c r="F443" s="908"/>
      <c r="G443" s="908"/>
      <c r="H443" s="908"/>
      <c r="I443" s="908"/>
      <c r="J443" s="1016"/>
      <c r="K443" s="900"/>
      <c r="L443" s="900"/>
    </row>
    <row r="444" spans="1:12" ht="15.75" customHeight="1">
      <c r="A444" s="908"/>
      <c r="B444" s="908"/>
      <c r="C444" s="908"/>
      <c r="D444" s="908"/>
      <c r="E444" s="908"/>
      <c r="F444" s="908"/>
      <c r="G444" s="908"/>
      <c r="H444" s="908"/>
      <c r="I444" s="908"/>
      <c r="J444" s="1016"/>
      <c r="K444" s="900"/>
      <c r="L444" s="900"/>
    </row>
    <row r="445" spans="1:12" ht="15.75" customHeight="1">
      <c r="A445" s="908"/>
      <c r="B445" s="908"/>
      <c r="C445" s="908"/>
      <c r="D445" s="908"/>
      <c r="E445" s="908"/>
      <c r="F445" s="908"/>
      <c r="G445" s="908"/>
      <c r="H445" s="908"/>
      <c r="I445" s="908"/>
      <c r="J445" s="1016"/>
      <c r="K445" s="900"/>
      <c r="L445" s="900"/>
    </row>
    <row r="446" spans="1:12" ht="15.75" customHeight="1">
      <c r="A446" s="908"/>
      <c r="B446" s="908"/>
      <c r="C446" s="908"/>
      <c r="D446" s="908"/>
      <c r="E446" s="908"/>
      <c r="F446" s="908"/>
      <c r="G446" s="908"/>
      <c r="H446" s="908"/>
      <c r="I446" s="908"/>
      <c r="J446" s="1016"/>
      <c r="K446" s="900"/>
      <c r="L446" s="900"/>
    </row>
    <row r="447" spans="1:12" ht="15.75" customHeight="1">
      <c r="A447" s="908"/>
      <c r="B447" s="908"/>
      <c r="C447" s="908"/>
      <c r="D447" s="908"/>
      <c r="E447" s="908"/>
      <c r="F447" s="908"/>
      <c r="G447" s="908"/>
      <c r="H447" s="908"/>
      <c r="I447" s="908"/>
      <c r="J447" s="1016"/>
      <c r="K447" s="900"/>
      <c r="L447" s="900"/>
    </row>
    <row r="448" spans="1:12" ht="15.75" customHeight="1">
      <c r="A448" s="908"/>
      <c r="B448" s="908"/>
      <c r="C448" s="908"/>
      <c r="D448" s="908"/>
      <c r="E448" s="908"/>
      <c r="F448" s="908"/>
      <c r="G448" s="908"/>
      <c r="H448" s="908"/>
      <c r="I448" s="908"/>
      <c r="J448" s="1016"/>
      <c r="K448" s="900"/>
      <c r="L448" s="900"/>
    </row>
    <row r="449" spans="1:12" ht="15.75" customHeight="1">
      <c r="A449" s="908"/>
      <c r="B449" s="908"/>
      <c r="C449" s="908"/>
      <c r="D449" s="908"/>
      <c r="E449" s="908"/>
      <c r="F449" s="908"/>
      <c r="G449" s="908"/>
      <c r="H449" s="908"/>
      <c r="I449" s="908"/>
      <c r="J449" s="1016"/>
      <c r="K449" s="900"/>
      <c r="L449" s="900"/>
    </row>
    <row r="450" spans="1:12" ht="15.75" customHeight="1">
      <c r="A450" s="908"/>
      <c r="B450" s="908"/>
      <c r="C450" s="908"/>
      <c r="D450" s="908"/>
      <c r="E450" s="908"/>
      <c r="F450" s="908"/>
      <c r="G450" s="908"/>
      <c r="H450" s="908"/>
      <c r="I450" s="908"/>
      <c r="J450" s="1016"/>
      <c r="K450" s="900"/>
      <c r="L450" s="900"/>
    </row>
    <row r="451" spans="1:12" ht="15.75" customHeight="1">
      <c r="A451" s="908"/>
      <c r="B451" s="908"/>
      <c r="C451" s="908"/>
      <c r="D451" s="908"/>
      <c r="E451" s="908"/>
      <c r="F451" s="908"/>
      <c r="G451" s="908"/>
      <c r="H451" s="908"/>
      <c r="I451" s="908"/>
      <c r="J451" s="1016"/>
      <c r="K451" s="900"/>
      <c r="L451" s="900"/>
    </row>
    <row r="452" spans="1:12" ht="15.75" customHeight="1">
      <c r="A452" s="908"/>
      <c r="B452" s="908"/>
      <c r="C452" s="908"/>
      <c r="D452" s="908"/>
      <c r="E452" s="908"/>
      <c r="F452" s="908"/>
      <c r="G452" s="908"/>
      <c r="H452" s="908"/>
      <c r="I452" s="908"/>
      <c r="J452" s="1016"/>
      <c r="K452" s="900"/>
      <c r="L452" s="900"/>
    </row>
    <row r="453" spans="1:12" ht="15.75" customHeight="1">
      <c r="A453" s="908"/>
      <c r="B453" s="908"/>
      <c r="C453" s="908"/>
      <c r="D453" s="908"/>
      <c r="E453" s="908"/>
      <c r="F453" s="908"/>
      <c r="G453" s="908"/>
      <c r="H453" s="908"/>
      <c r="I453" s="908"/>
      <c r="J453" s="1016"/>
      <c r="K453" s="900"/>
      <c r="L453" s="900"/>
    </row>
    <row r="454" spans="1:12" ht="15.75" customHeight="1">
      <c r="A454" s="908"/>
      <c r="B454" s="908"/>
      <c r="C454" s="908"/>
      <c r="D454" s="908"/>
      <c r="E454" s="908"/>
      <c r="F454" s="908"/>
      <c r="G454" s="908"/>
      <c r="H454" s="908"/>
      <c r="I454" s="908"/>
      <c r="J454" s="1016"/>
      <c r="K454" s="900"/>
      <c r="L454" s="900"/>
    </row>
    <row r="455" spans="1:12" ht="15.75" customHeight="1">
      <c r="A455" s="908"/>
      <c r="B455" s="908"/>
      <c r="C455" s="908"/>
      <c r="D455" s="908"/>
      <c r="E455" s="908"/>
      <c r="F455" s="908"/>
      <c r="G455" s="908"/>
      <c r="H455" s="908"/>
      <c r="I455" s="908"/>
      <c r="J455" s="1016"/>
      <c r="K455" s="900"/>
      <c r="L455" s="900"/>
    </row>
    <row r="456" spans="1:12" ht="15.75" customHeight="1">
      <c r="A456" s="908"/>
      <c r="B456" s="908"/>
      <c r="C456" s="908"/>
      <c r="D456" s="908"/>
      <c r="E456" s="908"/>
      <c r="F456" s="908"/>
      <c r="G456" s="908"/>
      <c r="H456" s="908"/>
      <c r="I456" s="908"/>
      <c r="J456" s="1016"/>
      <c r="K456" s="900"/>
      <c r="L456" s="900"/>
    </row>
    <row r="457" spans="1:12" ht="15.75" customHeight="1">
      <c r="A457" s="908"/>
      <c r="B457" s="908"/>
      <c r="C457" s="908"/>
      <c r="D457" s="908"/>
      <c r="E457" s="908"/>
      <c r="F457" s="908"/>
      <c r="G457" s="908"/>
      <c r="H457" s="908"/>
      <c r="I457" s="908"/>
      <c r="J457" s="1016"/>
      <c r="K457" s="900"/>
      <c r="L457" s="900"/>
    </row>
    <row r="458" spans="1:12" ht="15.75" customHeight="1">
      <c r="A458" s="908"/>
      <c r="B458" s="908"/>
      <c r="C458" s="908"/>
      <c r="D458" s="908"/>
      <c r="E458" s="908"/>
      <c r="F458" s="908"/>
      <c r="G458" s="908"/>
      <c r="H458" s="908"/>
      <c r="I458" s="908"/>
      <c r="J458" s="1016"/>
      <c r="K458" s="900"/>
      <c r="L458" s="900"/>
    </row>
    <row r="459" spans="1:12" ht="15.75" customHeight="1">
      <c r="A459" s="908"/>
      <c r="B459" s="908"/>
      <c r="C459" s="908"/>
      <c r="D459" s="908"/>
      <c r="E459" s="908"/>
      <c r="F459" s="908"/>
      <c r="G459" s="908"/>
      <c r="H459" s="908"/>
      <c r="I459" s="908"/>
      <c r="J459" s="1016"/>
      <c r="K459" s="900"/>
      <c r="L459" s="900"/>
    </row>
    <row r="460" spans="1:12" ht="15.75" customHeight="1">
      <c r="A460" s="908"/>
      <c r="B460" s="908"/>
      <c r="C460" s="908"/>
      <c r="D460" s="908"/>
      <c r="E460" s="908"/>
      <c r="F460" s="908"/>
      <c r="G460" s="908"/>
      <c r="H460" s="908"/>
      <c r="I460" s="908"/>
      <c r="J460" s="1016"/>
      <c r="K460" s="900"/>
      <c r="L460" s="900"/>
    </row>
    <row r="461" spans="1:12" ht="15.75" customHeight="1">
      <c r="A461" s="908"/>
      <c r="B461" s="908"/>
      <c r="C461" s="908"/>
      <c r="D461" s="908"/>
      <c r="E461" s="908"/>
      <c r="F461" s="908"/>
      <c r="G461" s="908"/>
      <c r="H461" s="908"/>
      <c r="I461" s="908"/>
      <c r="J461" s="1016"/>
      <c r="K461" s="900"/>
      <c r="L461" s="900"/>
    </row>
    <row r="462" spans="1:12" ht="15.75" customHeight="1">
      <c r="A462" s="908"/>
      <c r="B462" s="908"/>
      <c r="C462" s="908"/>
      <c r="D462" s="908"/>
      <c r="E462" s="908"/>
      <c r="F462" s="908"/>
      <c r="G462" s="908"/>
      <c r="H462" s="908"/>
      <c r="I462" s="908"/>
      <c r="J462" s="1016"/>
      <c r="K462" s="900"/>
      <c r="L462" s="900"/>
    </row>
    <row r="463" spans="1:12" ht="15.75" customHeight="1">
      <c r="A463" s="908"/>
      <c r="B463" s="908"/>
      <c r="C463" s="908"/>
      <c r="D463" s="908"/>
      <c r="E463" s="908"/>
      <c r="F463" s="908"/>
      <c r="G463" s="908"/>
      <c r="H463" s="908"/>
      <c r="I463" s="908"/>
      <c r="J463" s="1016"/>
      <c r="K463" s="900"/>
      <c r="L463" s="900"/>
    </row>
    <row r="464" spans="1:12" ht="15.75" customHeight="1">
      <c r="A464" s="908"/>
      <c r="B464" s="908"/>
      <c r="C464" s="908"/>
      <c r="D464" s="908"/>
      <c r="E464" s="908"/>
      <c r="F464" s="908"/>
      <c r="G464" s="908"/>
      <c r="H464" s="908"/>
      <c r="I464" s="908"/>
      <c r="J464" s="1016"/>
      <c r="K464" s="900"/>
      <c r="L464" s="900"/>
    </row>
    <row r="465" spans="1:12" ht="15.75" customHeight="1">
      <c r="A465" s="908"/>
      <c r="B465" s="908"/>
      <c r="C465" s="908"/>
      <c r="D465" s="908"/>
      <c r="E465" s="908"/>
      <c r="F465" s="908"/>
      <c r="G465" s="908"/>
      <c r="H465" s="908"/>
      <c r="I465" s="908"/>
      <c r="J465" s="1016"/>
      <c r="K465" s="900"/>
      <c r="L465" s="900"/>
    </row>
    <row r="466" spans="1:12" ht="15.75" customHeight="1">
      <c r="A466" s="908"/>
      <c r="B466" s="908"/>
      <c r="C466" s="908"/>
      <c r="D466" s="908"/>
      <c r="E466" s="908"/>
      <c r="F466" s="908"/>
      <c r="G466" s="908"/>
      <c r="H466" s="908"/>
      <c r="I466" s="908"/>
      <c r="J466" s="1016"/>
      <c r="K466" s="900"/>
      <c r="L466" s="900"/>
    </row>
    <row r="467" spans="1:12" ht="15.75" customHeight="1">
      <c r="A467" s="908"/>
      <c r="B467" s="908"/>
      <c r="C467" s="908"/>
      <c r="D467" s="908"/>
      <c r="E467" s="908"/>
      <c r="F467" s="908"/>
      <c r="G467" s="908"/>
      <c r="H467" s="908"/>
      <c r="I467" s="908"/>
      <c r="J467" s="1016"/>
      <c r="K467" s="900"/>
      <c r="L467" s="900"/>
    </row>
    <row r="468" spans="1:12" ht="15.75" customHeight="1">
      <c r="A468" s="908"/>
      <c r="B468" s="908"/>
      <c r="C468" s="908"/>
      <c r="D468" s="908"/>
      <c r="E468" s="908"/>
      <c r="F468" s="908"/>
      <c r="G468" s="908"/>
      <c r="H468" s="908"/>
      <c r="I468" s="908"/>
      <c r="J468" s="1016"/>
      <c r="K468" s="900"/>
      <c r="L468" s="900"/>
    </row>
    <row r="469" spans="1:12" ht="15.75" customHeight="1">
      <c r="A469" s="908"/>
      <c r="B469" s="908"/>
      <c r="C469" s="908"/>
      <c r="D469" s="908"/>
      <c r="E469" s="908"/>
      <c r="F469" s="908"/>
      <c r="G469" s="908"/>
      <c r="H469" s="908"/>
      <c r="I469" s="908"/>
      <c r="J469" s="1016"/>
      <c r="K469" s="900"/>
      <c r="L469" s="900"/>
    </row>
    <row r="470" spans="1:12" ht="15.75" customHeight="1">
      <c r="A470" s="908"/>
      <c r="B470" s="908"/>
      <c r="C470" s="908"/>
      <c r="D470" s="908"/>
      <c r="E470" s="908"/>
      <c r="F470" s="908"/>
      <c r="G470" s="908"/>
      <c r="H470" s="908"/>
      <c r="I470" s="908"/>
      <c r="J470" s="1016"/>
      <c r="K470" s="900"/>
      <c r="L470" s="900"/>
    </row>
    <row r="471" spans="1:12" ht="15.75" customHeight="1">
      <c r="A471" s="908"/>
      <c r="B471" s="908"/>
      <c r="C471" s="908"/>
      <c r="D471" s="908"/>
      <c r="E471" s="908"/>
      <c r="F471" s="908"/>
      <c r="G471" s="908"/>
      <c r="H471" s="908"/>
      <c r="I471" s="908"/>
      <c r="J471" s="1016"/>
      <c r="K471" s="900"/>
      <c r="L471" s="900"/>
    </row>
    <row r="472" spans="1:12" ht="15.75" customHeight="1">
      <c r="A472" s="908"/>
      <c r="B472" s="908"/>
      <c r="C472" s="908"/>
      <c r="D472" s="908"/>
      <c r="E472" s="908"/>
      <c r="F472" s="908"/>
      <c r="G472" s="908"/>
      <c r="H472" s="908"/>
      <c r="I472" s="908"/>
      <c r="J472" s="1016"/>
      <c r="K472" s="900"/>
      <c r="L472" s="900"/>
    </row>
    <row r="473" spans="1:12" ht="15.75" customHeight="1">
      <c r="A473" s="908"/>
      <c r="B473" s="908"/>
      <c r="C473" s="908"/>
      <c r="D473" s="908"/>
      <c r="E473" s="908"/>
      <c r="F473" s="908"/>
      <c r="G473" s="908"/>
      <c r="H473" s="908"/>
      <c r="I473" s="908"/>
      <c r="J473" s="1016"/>
      <c r="K473" s="900"/>
      <c r="L473" s="900"/>
    </row>
    <row r="474" spans="1:12" ht="15.75" customHeight="1">
      <c r="A474" s="908"/>
      <c r="B474" s="908"/>
      <c r="C474" s="908"/>
      <c r="D474" s="908"/>
      <c r="E474" s="908"/>
      <c r="F474" s="908"/>
      <c r="G474" s="908"/>
      <c r="H474" s="908"/>
      <c r="I474" s="908"/>
      <c r="J474" s="1016"/>
      <c r="K474" s="900"/>
      <c r="L474" s="900"/>
    </row>
    <row r="475" spans="1:12" ht="15.75" customHeight="1">
      <c r="A475" s="908"/>
      <c r="B475" s="908"/>
      <c r="C475" s="908"/>
      <c r="D475" s="908"/>
      <c r="E475" s="908"/>
      <c r="F475" s="908"/>
      <c r="G475" s="908"/>
      <c r="H475" s="908"/>
      <c r="I475" s="908"/>
      <c r="J475" s="1016"/>
      <c r="K475" s="900"/>
      <c r="L475" s="900"/>
    </row>
    <row r="476" spans="1:12" ht="15.75" customHeight="1">
      <c r="A476" s="908"/>
      <c r="B476" s="908"/>
      <c r="C476" s="908"/>
      <c r="D476" s="908"/>
      <c r="E476" s="908"/>
      <c r="F476" s="908"/>
      <c r="G476" s="908"/>
      <c r="H476" s="908"/>
      <c r="I476" s="908"/>
      <c r="J476" s="1016"/>
      <c r="K476" s="900"/>
      <c r="L476" s="900"/>
    </row>
    <row r="477" spans="1:12" ht="15.75" customHeight="1">
      <c r="A477" s="908"/>
      <c r="B477" s="908"/>
      <c r="C477" s="908"/>
      <c r="D477" s="908"/>
      <c r="E477" s="908"/>
      <c r="F477" s="908"/>
      <c r="G477" s="908"/>
      <c r="H477" s="908"/>
      <c r="I477" s="908"/>
      <c r="J477" s="1016"/>
      <c r="K477" s="900"/>
      <c r="L477" s="900"/>
    </row>
    <row r="478" spans="1:12" ht="15.75" customHeight="1">
      <c r="A478" s="908"/>
      <c r="B478" s="908"/>
      <c r="C478" s="908"/>
      <c r="D478" s="908"/>
      <c r="E478" s="908"/>
      <c r="F478" s="908"/>
      <c r="G478" s="908"/>
      <c r="H478" s="908"/>
      <c r="I478" s="908"/>
      <c r="J478" s="1016"/>
      <c r="K478" s="900"/>
      <c r="L478" s="900"/>
    </row>
    <row r="479" spans="1:12" ht="15.75" customHeight="1">
      <c r="A479" s="908"/>
      <c r="B479" s="908"/>
      <c r="C479" s="908"/>
      <c r="D479" s="908"/>
      <c r="E479" s="908"/>
      <c r="F479" s="908"/>
      <c r="G479" s="908"/>
      <c r="H479" s="908"/>
      <c r="I479" s="908"/>
      <c r="J479" s="1016"/>
      <c r="K479" s="900"/>
      <c r="L479" s="900"/>
    </row>
    <row r="480" spans="1:12" ht="15.75" customHeight="1">
      <c r="A480" s="908"/>
      <c r="B480" s="908"/>
      <c r="C480" s="908"/>
      <c r="D480" s="908"/>
      <c r="E480" s="908"/>
      <c r="F480" s="908"/>
      <c r="G480" s="908"/>
      <c r="H480" s="908"/>
      <c r="I480" s="908"/>
      <c r="J480" s="1016"/>
      <c r="K480" s="900"/>
      <c r="L480" s="900"/>
    </row>
    <row r="481" spans="1:12" ht="15.75" customHeight="1">
      <c r="A481" s="908"/>
      <c r="B481" s="908"/>
      <c r="C481" s="908"/>
      <c r="D481" s="908"/>
      <c r="E481" s="908"/>
      <c r="F481" s="908"/>
      <c r="G481" s="908"/>
      <c r="H481" s="908"/>
      <c r="I481" s="908"/>
      <c r="J481" s="1016"/>
      <c r="K481" s="900"/>
      <c r="L481" s="900"/>
    </row>
    <row r="482" spans="1:12" ht="15.75" customHeight="1">
      <c r="A482" s="908"/>
      <c r="B482" s="908"/>
      <c r="C482" s="908"/>
      <c r="D482" s="908"/>
      <c r="E482" s="908"/>
      <c r="F482" s="908"/>
      <c r="G482" s="908"/>
      <c r="H482" s="908"/>
      <c r="I482" s="908"/>
      <c r="J482" s="1016"/>
      <c r="K482" s="900"/>
      <c r="L482" s="900"/>
    </row>
    <row r="483" spans="1:12" ht="15.75" customHeight="1">
      <c r="A483" s="908"/>
      <c r="B483" s="908"/>
      <c r="C483" s="908"/>
      <c r="D483" s="908"/>
      <c r="E483" s="908"/>
      <c r="F483" s="908"/>
      <c r="G483" s="908"/>
      <c r="H483" s="908"/>
      <c r="I483" s="908"/>
      <c r="J483" s="1016"/>
      <c r="K483" s="900"/>
      <c r="L483" s="900"/>
    </row>
    <row r="484" spans="1:12" ht="15.75" customHeight="1">
      <c r="A484" s="908"/>
      <c r="B484" s="908"/>
      <c r="C484" s="908"/>
      <c r="D484" s="908"/>
      <c r="E484" s="908"/>
      <c r="F484" s="908"/>
      <c r="G484" s="908"/>
      <c r="H484" s="908"/>
      <c r="I484" s="908"/>
      <c r="J484" s="1016"/>
      <c r="K484" s="900"/>
      <c r="L484" s="900"/>
    </row>
    <row r="485" spans="1:12" ht="15.75" customHeight="1">
      <c r="A485" s="908"/>
      <c r="B485" s="908"/>
      <c r="C485" s="908"/>
      <c r="D485" s="908"/>
      <c r="E485" s="908"/>
      <c r="F485" s="908"/>
      <c r="G485" s="908"/>
      <c r="H485" s="908"/>
      <c r="I485" s="908"/>
      <c r="J485" s="1016"/>
      <c r="K485" s="900"/>
      <c r="L485" s="900"/>
    </row>
    <row r="486" spans="1:12" ht="15.75" customHeight="1">
      <c r="A486" s="908"/>
      <c r="B486" s="908"/>
      <c r="C486" s="908"/>
      <c r="D486" s="908"/>
      <c r="E486" s="908"/>
      <c r="F486" s="908"/>
      <c r="G486" s="908"/>
      <c r="H486" s="908"/>
      <c r="I486" s="908"/>
      <c r="J486" s="1016"/>
      <c r="K486" s="900"/>
      <c r="L486" s="900"/>
    </row>
    <row r="487" spans="1:12" ht="15.75" customHeight="1">
      <c r="A487" s="908"/>
      <c r="B487" s="908"/>
      <c r="C487" s="908"/>
      <c r="D487" s="908"/>
      <c r="E487" s="908"/>
      <c r="F487" s="908"/>
      <c r="G487" s="908"/>
      <c r="H487" s="908"/>
      <c r="I487" s="908"/>
      <c r="J487" s="1016"/>
      <c r="K487" s="900"/>
      <c r="L487" s="900"/>
    </row>
    <row r="488" spans="1:12" ht="15.75" customHeight="1">
      <c r="A488" s="908"/>
      <c r="B488" s="908"/>
      <c r="C488" s="908"/>
      <c r="D488" s="908"/>
      <c r="E488" s="908"/>
      <c r="F488" s="908"/>
      <c r="G488" s="908"/>
      <c r="H488" s="908"/>
      <c r="I488" s="908"/>
      <c r="J488" s="1016"/>
      <c r="K488" s="900"/>
      <c r="L488" s="900"/>
    </row>
    <row r="489" spans="1:12" ht="15.75" customHeight="1">
      <c r="A489" s="908"/>
      <c r="B489" s="908"/>
      <c r="C489" s="908"/>
      <c r="D489" s="908"/>
      <c r="E489" s="908"/>
      <c r="F489" s="908"/>
      <c r="G489" s="908"/>
      <c r="H489" s="908"/>
      <c r="I489" s="908"/>
      <c r="J489" s="1016"/>
      <c r="K489" s="900"/>
      <c r="L489" s="900"/>
    </row>
    <row r="490" spans="1:12" ht="15.75" customHeight="1">
      <c r="A490" s="908"/>
      <c r="B490" s="908"/>
      <c r="C490" s="908"/>
      <c r="D490" s="908"/>
      <c r="E490" s="908"/>
      <c r="F490" s="908"/>
      <c r="G490" s="908"/>
      <c r="H490" s="908"/>
      <c r="I490" s="908"/>
      <c r="J490" s="1016"/>
      <c r="K490" s="900"/>
      <c r="L490" s="900"/>
    </row>
    <row r="491" spans="1:12" ht="15.75" customHeight="1">
      <c r="A491" s="908"/>
      <c r="B491" s="908"/>
      <c r="C491" s="908"/>
      <c r="D491" s="908"/>
      <c r="E491" s="908"/>
      <c r="F491" s="908"/>
      <c r="G491" s="908"/>
      <c r="H491" s="908"/>
      <c r="I491" s="908"/>
      <c r="J491" s="1016"/>
      <c r="K491" s="900"/>
      <c r="L491" s="900"/>
    </row>
    <row r="492" spans="1:12" ht="15.75" customHeight="1">
      <c r="A492" s="908"/>
      <c r="B492" s="908"/>
      <c r="C492" s="908"/>
      <c r="D492" s="908"/>
      <c r="E492" s="908"/>
      <c r="F492" s="908"/>
      <c r="G492" s="908"/>
      <c r="H492" s="908"/>
      <c r="I492" s="908"/>
      <c r="J492" s="1016"/>
      <c r="K492" s="900"/>
      <c r="L492" s="900"/>
    </row>
    <row r="493" spans="1:12" ht="15.75" customHeight="1">
      <c r="A493" s="908"/>
      <c r="B493" s="908"/>
      <c r="C493" s="908"/>
      <c r="D493" s="908"/>
      <c r="E493" s="908"/>
      <c r="F493" s="908"/>
      <c r="G493" s="908"/>
      <c r="H493" s="908"/>
      <c r="I493" s="908"/>
      <c r="J493" s="1016"/>
      <c r="K493" s="900"/>
      <c r="L493" s="900"/>
    </row>
    <row r="494" spans="1:12" ht="15.75" customHeight="1">
      <c r="A494" s="908"/>
      <c r="B494" s="908"/>
      <c r="C494" s="908"/>
      <c r="D494" s="908"/>
      <c r="E494" s="908"/>
      <c r="F494" s="908"/>
      <c r="G494" s="908"/>
      <c r="H494" s="908"/>
      <c r="I494" s="908"/>
      <c r="J494" s="1016"/>
      <c r="K494" s="900"/>
      <c r="L494" s="900"/>
    </row>
    <row r="495" spans="1:12" ht="15.75" customHeight="1">
      <c r="A495" s="908"/>
      <c r="B495" s="908"/>
      <c r="C495" s="908"/>
      <c r="D495" s="908"/>
      <c r="E495" s="908"/>
      <c r="F495" s="908"/>
      <c r="G495" s="908"/>
      <c r="H495" s="908"/>
      <c r="I495" s="908"/>
      <c r="J495" s="1016"/>
      <c r="K495" s="900"/>
      <c r="L495" s="900"/>
    </row>
    <row r="496" spans="1:12" ht="15.75" customHeight="1">
      <c r="A496" s="908"/>
      <c r="B496" s="908"/>
      <c r="C496" s="908"/>
      <c r="D496" s="908"/>
      <c r="E496" s="908"/>
      <c r="F496" s="908"/>
      <c r="G496" s="908"/>
      <c r="H496" s="908"/>
      <c r="I496" s="908"/>
      <c r="J496" s="1016"/>
      <c r="K496" s="900"/>
      <c r="L496" s="900"/>
    </row>
    <row r="497" spans="1:12" ht="15.75" customHeight="1">
      <c r="A497" s="908"/>
      <c r="B497" s="908"/>
      <c r="C497" s="908"/>
      <c r="D497" s="908"/>
      <c r="E497" s="908"/>
      <c r="F497" s="908"/>
      <c r="G497" s="908"/>
      <c r="H497" s="908"/>
      <c r="I497" s="908"/>
      <c r="J497" s="1016"/>
      <c r="K497" s="900"/>
      <c r="L497" s="900"/>
    </row>
    <row r="498" spans="1:12" ht="15.75" customHeight="1">
      <c r="A498" s="908"/>
      <c r="B498" s="908"/>
      <c r="C498" s="908"/>
      <c r="D498" s="908"/>
      <c r="E498" s="908"/>
      <c r="F498" s="908"/>
      <c r="G498" s="908"/>
      <c r="H498" s="908"/>
      <c r="I498" s="908"/>
      <c r="J498" s="1016"/>
      <c r="K498" s="900"/>
      <c r="L498" s="900"/>
    </row>
    <row r="499" spans="1:12" ht="15.75" customHeight="1">
      <c r="A499" s="908"/>
      <c r="B499" s="908"/>
      <c r="C499" s="908"/>
      <c r="D499" s="908"/>
      <c r="E499" s="908"/>
      <c r="F499" s="908"/>
      <c r="G499" s="908"/>
      <c r="H499" s="908"/>
      <c r="I499" s="908"/>
      <c r="J499" s="1016"/>
      <c r="K499" s="900"/>
      <c r="L499" s="900"/>
    </row>
    <row r="500" spans="1:12" ht="15.75" customHeight="1">
      <c r="A500" s="908"/>
      <c r="B500" s="908"/>
      <c r="C500" s="908"/>
      <c r="D500" s="908"/>
      <c r="E500" s="908"/>
      <c r="F500" s="908"/>
      <c r="G500" s="908"/>
      <c r="H500" s="908"/>
      <c r="I500" s="908"/>
      <c r="J500" s="1016"/>
      <c r="K500" s="900"/>
      <c r="L500" s="900"/>
    </row>
    <row r="501" spans="1:12" ht="15.75" customHeight="1">
      <c r="A501" s="908"/>
      <c r="B501" s="908"/>
      <c r="C501" s="908"/>
      <c r="D501" s="908"/>
      <c r="E501" s="908"/>
      <c r="F501" s="908"/>
      <c r="G501" s="908"/>
      <c r="H501" s="908"/>
      <c r="I501" s="908"/>
      <c r="J501" s="1016"/>
      <c r="K501" s="900"/>
      <c r="L501" s="900"/>
    </row>
    <row r="502" spans="1:12" ht="15.75" customHeight="1">
      <c r="A502" s="908"/>
      <c r="B502" s="908"/>
      <c r="C502" s="908"/>
      <c r="D502" s="908"/>
      <c r="E502" s="908"/>
      <c r="F502" s="908"/>
      <c r="G502" s="908"/>
      <c r="H502" s="908"/>
      <c r="I502" s="908"/>
      <c r="J502" s="1016"/>
      <c r="K502" s="900"/>
      <c r="L502" s="900"/>
    </row>
    <row r="503" spans="1:12" ht="15.75" customHeight="1">
      <c r="A503" s="908"/>
      <c r="B503" s="908"/>
      <c r="C503" s="908"/>
      <c r="D503" s="908"/>
      <c r="E503" s="908"/>
      <c r="F503" s="908"/>
      <c r="G503" s="908"/>
      <c r="H503" s="908"/>
      <c r="I503" s="908"/>
      <c r="J503" s="1016"/>
      <c r="K503" s="900"/>
      <c r="L503" s="900"/>
    </row>
    <row r="504" spans="1:12" ht="15.75" customHeight="1">
      <c r="A504" s="908"/>
      <c r="B504" s="908"/>
      <c r="C504" s="908"/>
      <c r="D504" s="908"/>
      <c r="E504" s="908"/>
      <c r="F504" s="908"/>
      <c r="G504" s="908"/>
      <c r="H504" s="908"/>
      <c r="I504" s="908"/>
      <c r="J504" s="1016"/>
      <c r="K504" s="900"/>
      <c r="L504" s="900"/>
    </row>
    <row r="505" spans="1:12" ht="15.75" customHeight="1">
      <c r="A505" s="908"/>
      <c r="B505" s="908"/>
      <c r="C505" s="908"/>
      <c r="D505" s="908"/>
      <c r="E505" s="908"/>
      <c r="F505" s="908"/>
      <c r="G505" s="908"/>
      <c r="H505" s="908"/>
      <c r="I505" s="908"/>
      <c r="J505" s="1016"/>
      <c r="K505" s="900"/>
      <c r="L505" s="900"/>
    </row>
    <row r="506" spans="1:12" ht="15.75" customHeight="1">
      <c r="A506" s="908"/>
      <c r="B506" s="908"/>
      <c r="C506" s="908"/>
      <c r="D506" s="908"/>
      <c r="E506" s="908"/>
      <c r="F506" s="908"/>
      <c r="G506" s="908"/>
      <c r="H506" s="908"/>
      <c r="I506" s="908"/>
      <c r="J506" s="1016"/>
      <c r="K506" s="900"/>
      <c r="L506" s="900"/>
    </row>
    <row r="507" spans="1:12" ht="15.75" customHeight="1">
      <c r="A507" s="908"/>
      <c r="B507" s="908"/>
      <c r="C507" s="908"/>
      <c r="D507" s="908"/>
      <c r="E507" s="908"/>
      <c r="F507" s="908"/>
      <c r="G507" s="908"/>
      <c r="H507" s="908"/>
      <c r="I507" s="908"/>
      <c r="J507" s="1016"/>
      <c r="K507" s="900"/>
      <c r="L507" s="900"/>
    </row>
    <row r="508" spans="1:12" ht="15.75" customHeight="1">
      <c r="A508" s="908"/>
      <c r="B508" s="908"/>
      <c r="C508" s="908"/>
      <c r="D508" s="908"/>
      <c r="E508" s="908"/>
      <c r="F508" s="908"/>
      <c r="G508" s="908"/>
      <c r="H508" s="908"/>
      <c r="I508" s="908"/>
      <c r="J508" s="1016"/>
      <c r="K508" s="900"/>
      <c r="L508" s="900"/>
    </row>
    <row r="509" spans="1:12" ht="15.75" customHeight="1">
      <c r="A509" s="908"/>
      <c r="B509" s="908"/>
      <c r="C509" s="908"/>
      <c r="D509" s="908"/>
      <c r="E509" s="908"/>
      <c r="F509" s="908"/>
      <c r="G509" s="908"/>
      <c r="H509" s="908"/>
      <c r="I509" s="908"/>
      <c r="J509" s="1016"/>
      <c r="K509" s="900"/>
      <c r="L509" s="900"/>
    </row>
    <row r="510" spans="1:12" ht="15.75" customHeight="1">
      <c r="A510" s="908"/>
      <c r="B510" s="908"/>
      <c r="C510" s="908"/>
      <c r="D510" s="908"/>
      <c r="E510" s="908"/>
      <c r="F510" s="908"/>
      <c r="G510" s="908"/>
      <c r="H510" s="908"/>
      <c r="I510" s="908"/>
      <c r="J510" s="1016"/>
      <c r="K510" s="900"/>
      <c r="L510" s="900"/>
    </row>
    <row r="511" spans="1:12" ht="15.75" customHeight="1">
      <c r="A511" s="908"/>
      <c r="B511" s="908"/>
      <c r="C511" s="908"/>
      <c r="D511" s="908"/>
      <c r="E511" s="908"/>
      <c r="F511" s="908"/>
      <c r="G511" s="908"/>
      <c r="H511" s="908"/>
      <c r="I511" s="908"/>
      <c r="J511" s="1016"/>
      <c r="K511" s="900"/>
      <c r="L511" s="900"/>
    </row>
    <row r="512" spans="1:12" ht="15.75" customHeight="1">
      <c r="A512" s="908"/>
      <c r="B512" s="908"/>
      <c r="C512" s="908"/>
      <c r="D512" s="908"/>
      <c r="E512" s="908"/>
      <c r="F512" s="908"/>
      <c r="G512" s="908"/>
      <c r="H512" s="908"/>
      <c r="I512" s="908"/>
      <c r="J512" s="1016"/>
      <c r="K512" s="900"/>
      <c r="L512" s="900"/>
    </row>
    <row r="513" spans="1:12" ht="15.75" customHeight="1">
      <c r="A513" s="908"/>
      <c r="B513" s="908"/>
      <c r="C513" s="908"/>
      <c r="D513" s="908"/>
      <c r="E513" s="908"/>
      <c r="F513" s="908"/>
      <c r="G513" s="908"/>
      <c r="H513" s="908"/>
      <c r="I513" s="908"/>
      <c r="J513" s="1016"/>
      <c r="K513" s="900"/>
      <c r="L513" s="900"/>
    </row>
    <row r="514" spans="1:12" ht="15.75" customHeight="1">
      <c r="A514" s="908"/>
      <c r="B514" s="908"/>
      <c r="C514" s="908"/>
      <c r="D514" s="908"/>
      <c r="E514" s="908"/>
      <c r="F514" s="908"/>
      <c r="G514" s="908"/>
      <c r="H514" s="908"/>
      <c r="I514" s="908"/>
      <c r="J514" s="1016"/>
      <c r="K514" s="900"/>
      <c r="L514" s="900"/>
    </row>
    <row r="515" spans="1:12" ht="15.75" customHeight="1">
      <c r="A515" s="908"/>
      <c r="B515" s="908"/>
      <c r="C515" s="908"/>
      <c r="D515" s="908"/>
      <c r="E515" s="908"/>
      <c r="F515" s="908"/>
      <c r="G515" s="908"/>
      <c r="H515" s="908"/>
      <c r="I515" s="908"/>
      <c r="J515" s="1016"/>
      <c r="K515" s="900"/>
      <c r="L515" s="900"/>
    </row>
    <row r="516" spans="1:12" ht="15.75" customHeight="1">
      <c r="A516" s="908"/>
      <c r="B516" s="908"/>
      <c r="C516" s="908"/>
      <c r="D516" s="908"/>
      <c r="E516" s="908"/>
      <c r="F516" s="908"/>
      <c r="G516" s="908"/>
      <c r="H516" s="908"/>
      <c r="I516" s="908"/>
      <c r="J516" s="1016"/>
      <c r="K516" s="900"/>
      <c r="L516" s="900"/>
    </row>
    <row r="517" spans="1:12" ht="15.75" customHeight="1">
      <c r="A517" s="908"/>
      <c r="B517" s="908"/>
      <c r="C517" s="908"/>
      <c r="D517" s="908"/>
      <c r="E517" s="908"/>
      <c r="F517" s="908"/>
      <c r="G517" s="908"/>
      <c r="H517" s="908"/>
      <c r="I517" s="908"/>
      <c r="J517" s="1016"/>
      <c r="K517" s="900"/>
      <c r="L517" s="900"/>
    </row>
    <row r="518" spans="1:12" ht="15.75" customHeight="1">
      <c r="A518" s="908"/>
      <c r="B518" s="908"/>
      <c r="C518" s="908"/>
      <c r="D518" s="908"/>
      <c r="E518" s="908"/>
      <c r="F518" s="908"/>
      <c r="G518" s="908"/>
      <c r="H518" s="908"/>
      <c r="I518" s="908"/>
      <c r="J518" s="1016"/>
      <c r="K518" s="900"/>
      <c r="L518" s="900"/>
    </row>
    <row r="519" spans="1:12" ht="15.75" customHeight="1">
      <c r="A519" s="908"/>
      <c r="B519" s="908"/>
      <c r="C519" s="908"/>
      <c r="D519" s="908"/>
      <c r="E519" s="908"/>
      <c r="F519" s="908"/>
      <c r="G519" s="908"/>
      <c r="H519" s="908"/>
      <c r="I519" s="908"/>
      <c r="J519" s="1016"/>
      <c r="K519" s="900"/>
      <c r="L519" s="900"/>
    </row>
    <row r="520" spans="1:12" ht="15.75" customHeight="1">
      <c r="A520" s="908"/>
      <c r="B520" s="908"/>
      <c r="C520" s="908"/>
      <c r="D520" s="908"/>
      <c r="E520" s="908"/>
      <c r="F520" s="908"/>
      <c r="G520" s="908"/>
      <c r="H520" s="908"/>
      <c r="I520" s="908"/>
      <c r="J520" s="1016"/>
      <c r="K520" s="900"/>
      <c r="L520" s="900"/>
    </row>
    <row r="521" spans="1:12" ht="15.75" customHeight="1">
      <c r="A521" s="908"/>
      <c r="B521" s="908"/>
      <c r="C521" s="908"/>
      <c r="D521" s="908"/>
      <c r="E521" s="908"/>
      <c r="F521" s="908"/>
      <c r="G521" s="908"/>
      <c r="H521" s="908"/>
      <c r="I521" s="908"/>
      <c r="J521" s="1016"/>
      <c r="K521" s="900"/>
      <c r="L521" s="900"/>
    </row>
    <row r="522" spans="1:12" ht="15.75" customHeight="1">
      <c r="A522" s="908"/>
      <c r="B522" s="908"/>
      <c r="C522" s="908"/>
      <c r="D522" s="908"/>
      <c r="E522" s="908"/>
      <c r="F522" s="908"/>
      <c r="G522" s="908"/>
      <c r="H522" s="908"/>
      <c r="I522" s="908"/>
      <c r="J522" s="1016"/>
      <c r="K522" s="900"/>
      <c r="L522" s="900"/>
    </row>
    <row r="523" spans="1:12" ht="15.75" customHeight="1">
      <c r="A523" s="908"/>
      <c r="B523" s="908"/>
      <c r="C523" s="908"/>
      <c r="D523" s="908"/>
      <c r="E523" s="908"/>
      <c r="F523" s="908"/>
      <c r="G523" s="908"/>
      <c r="H523" s="908"/>
      <c r="I523" s="908"/>
      <c r="J523" s="1016"/>
      <c r="K523" s="900"/>
      <c r="L523" s="900"/>
    </row>
    <row r="524" spans="1:12" ht="15.75" customHeight="1">
      <c r="A524" s="908"/>
      <c r="B524" s="908"/>
      <c r="C524" s="908"/>
      <c r="D524" s="908"/>
      <c r="E524" s="908"/>
      <c r="F524" s="908"/>
      <c r="G524" s="908"/>
      <c r="H524" s="908"/>
      <c r="I524" s="908"/>
      <c r="J524" s="1016"/>
      <c r="K524" s="900"/>
      <c r="L524" s="900"/>
    </row>
    <row r="525" spans="1:12" ht="15.75" customHeight="1">
      <c r="A525" s="908"/>
      <c r="B525" s="908"/>
      <c r="C525" s="908"/>
      <c r="D525" s="908"/>
      <c r="E525" s="908"/>
      <c r="F525" s="908"/>
      <c r="G525" s="908"/>
      <c r="H525" s="908"/>
      <c r="I525" s="908"/>
      <c r="J525" s="1016"/>
      <c r="K525" s="900"/>
      <c r="L525" s="900"/>
    </row>
    <row r="526" spans="1:12" ht="15.75" customHeight="1">
      <c r="A526" s="908"/>
      <c r="B526" s="908"/>
      <c r="C526" s="908"/>
      <c r="D526" s="908"/>
      <c r="E526" s="908"/>
      <c r="F526" s="908"/>
      <c r="G526" s="908"/>
      <c r="H526" s="908"/>
      <c r="I526" s="908"/>
      <c r="J526" s="1016"/>
      <c r="K526" s="900"/>
      <c r="L526" s="900"/>
    </row>
    <row r="527" spans="1:12" ht="15.75" customHeight="1">
      <c r="A527" s="908"/>
      <c r="B527" s="908"/>
      <c r="C527" s="908"/>
      <c r="D527" s="908"/>
      <c r="E527" s="908"/>
      <c r="F527" s="908"/>
      <c r="G527" s="908"/>
      <c r="H527" s="908"/>
      <c r="I527" s="908"/>
      <c r="J527" s="1016"/>
      <c r="K527" s="900"/>
      <c r="L527" s="900"/>
    </row>
    <row r="528" spans="1:12" ht="15.75" customHeight="1">
      <c r="A528" s="908"/>
      <c r="B528" s="908"/>
      <c r="C528" s="908"/>
      <c r="D528" s="908"/>
      <c r="E528" s="908"/>
      <c r="F528" s="908"/>
      <c r="G528" s="908"/>
      <c r="H528" s="908"/>
      <c r="I528" s="908"/>
      <c r="J528" s="1016"/>
      <c r="K528" s="900"/>
      <c r="L528" s="900"/>
    </row>
    <row r="529" spans="1:12" ht="15.75" customHeight="1">
      <c r="A529" s="908"/>
      <c r="B529" s="908"/>
      <c r="C529" s="908"/>
      <c r="D529" s="908"/>
      <c r="E529" s="908"/>
      <c r="F529" s="908"/>
      <c r="G529" s="908"/>
      <c r="H529" s="908"/>
      <c r="I529" s="908"/>
      <c r="J529" s="1016"/>
      <c r="K529" s="900"/>
      <c r="L529" s="900"/>
    </row>
    <row r="530" spans="1:12" ht="15.75" customHeight="1">
      <c r="A530" s="908"/>
      <c r="B530" s="908"/>
      <c r="C530" s="908"/>
      <c r="D530" s="908"/>
      <c r="E530" s="908"/>
      <c r="F530" s="908"/>
      <c r="G530" s="908"/>
      <c r="H530" s="908"/>
      <c r="I530" s="908"/>
      <c r="J530" s="1016"/>
      <c r="K530" s="900"/>
      <c r="L530" s="900"/>
    </row>
    <row r="531" spans="1:12" ht="15.75" customHeight="1">
      <c r="A531" s="908"/>
      <c r="B531" s="908"/>
      <c r="C531" s="908"/>
      <c r="D531" s="908"/>
      <c r="E531" s="908"/>
      <c r="F531" s="908"/>
      <c r="G531" s="908"/>
      <c r="H531" s="908"/>
      <c r="I531" s="908"/>
      <c r="J531" s="1016"/>
      <c r="K531" s="900"/>
      <c r="L531" s="900"/>
    </row>
    <row r="532" spans="1:12" ht="15.75" customHeight="1">
      <c r="A532" s="908"/>
      <c r="B532" s="908"/>
      <c r="C532" s="908"/>
      <c r="D532" s="908"/>
      <c r="E532" s="908"/>
      <c r="F532" s="908"/>
      <c r="G532" s="908"/>
      <c r="H532" s="908"/>
      <c r="I532" s="908"/>
      <c r="J532" s="1016"/>
      <c r="K532" s="900"/>
      <c r="L532" s="900"/>
    </row>
    <row r="533" spans="1:12" ht="15.75" customHeight="1">
      <c r="A533" s="908"/>
      <c r="B533" s="908"/>
      <c r="C533" s="908"/>
      <c r="D533" s="908"/>
      <c r="E533" s="908"/>
      <c r="F533" s="908"/>
      <c r="G533" s="908"/>
      <c r="H533" s="908"/>
      <c r="I533" s="908"/>
      <c r="J533" s="1016"/>
      <c r="K533" s="900"/>
      <c r="L533" s="900"/>
    </row>
    <row r="534" spans="1:12" ht="15.75" customHeight="1">
      <c r="A534" s="908"/>
      <c r="B534" s="908"/>
      <c r="C534" s="908"/>
      <c r="D534" s="908"/>
      <c r="E534" s="908"/>
      <c r="F534" s="908"/>
      <c r="G534" s="908"/>
      <c r="H534" s="908"/>
      <c r="I534" s="908"/>
      <c r="J534" s="1016"/>
      <c r="K534" s="900"/>
      <c r="L534" s="900"/>
    </row>
    <row r="535" spans="1:12" ht="15.75" customHeight="1">
      <c r="A535" s="908"/>
      <c r="B535" s="908"/>
      <c r="C535" s="908"/>
      <c r="D535" s="908"/>
      <c r="E535" s="908"/>
      <c r="F535" s="908"/>
      <c r="G535" s="908"/>
      <c r="H535" s="908"/>
      <c r="I535" s="908"/>
      <c r="J535" s="1016"/>
      <c r="K535" s="900"/>
      <c r="L535" s="900"/>
    </row>
    <row r="536" spans="1:12" ht="15.75" customHeight="1">
      <c r="A536" s="908"/>
      <c r="B536" s="908"/>
      <c r="C536" s="908"/>
      <c r="D536" s="908"/>
      <c r="E536" s="908"/>
      <c r="F536" s="908"/>
      <c r="G536" s="908"/>
      <c r="H536" s="908"/>
      <c r="I536" s="908"/>
      <c r="J536" s="1016"/>
      <c r="K536" s="900"/>
      <c r="L536" s="900"/>
    </row>
    <row r="537" spans="1:12" ht="15.75" customHeight="1">
      <c r="A537" s="908"/>
      <c r="B537" s="908"/>
      <c r="C537" s="908"/>
      <c r="D537" s="908"/>
      <c r="E537" s="908"/>
      <c r="F537" s="908"/>
      <c r="G537" s="908"/>
      <c r="H537" s="908"/>
      <c r="I537" s="908"/>
      <c r="J537" s="1016"/>
      <c r="K537" s="900"/>
      <c r="L537" s="900"/>
    </row>
    <row r="538" spans="1:12" ht="15.75" customHeight="1">
      <c r="A538" s="908"/>
      <c r="B538" s="908"/>
      <c r="C538" s="908"/>
      <c r="D538" s="908"/>
      <c r="E538" s="908"/>
      <c r="F538" s="908"/>
      <c r="G538" s="908"/>
      <c r="H538" s="908"/>
      <c r="I538" s="908"/>
      <c r="J538" s="1016"/>
      <c r="K538" s="900"/>
      <c r="L538" s="900"/>
    </row>
    <row r="539" spans="1:12" ht="15.75" customHeight="1">
      <c r="A539" s="908"/>
      <c r="B539" s="908"/>
      <c r="C539" s="908"/>
      <c r="D539" s="908"/>
      <c r="E539" s="908"/>
      <c r="F539" s="908"/>
      <c r="G539" s="908"/>
      <c r="H539" s="908"/>
      <c r="I539" s="908"/>
      <c r="J539" s="1016"/>
      <c r="K539" s="900"/>
      <c r="L539" s="900"/>
    </row>
    <row r="540" spans="1:12" ht="15.75" customHeight="1">
      <c r="A540" s="908"/>
      <c r="B540" s="908"/>
      <c r="C540" s="908"/>
      <c r="D540" s="908"/>
      <c r="E540" s="908"/>
      <c r="F540" s="908"/>
      <c r="G540" s="908"/>
      <c r="H540" s="908"/>
      <c r="I540" s="908"/>
      <c r="J540" s="1016"/>
      <c r="K540" s="900"/>
      <c r="L540" s="900"/>
    </row>
    <row r="541" spans="1:12" ht="15.75" customHeight="1">
      <c r="A541" s="908"/>
      <c r="B541" s="908"/>
      <c r="C541" s="908"/>
      <c r="D541" s="908"/>
      <c r="E541" s="908"/>
      <c r="F541" s="908"/>
      <c r="G541" s="908"/>
      <c r="H541" s="908"/>
      <c r="I541" s="908"/>
      <c r="J541" s="1016"/>
      <c r="K541" s="900"/>
      <c r="L541" s="900"/>
    </row>
    <row r="542" spans="1:12" ht="15.75" customHeight="1">
      <c r="A542" s="908"/>
      <c r="B542" s="908"/>
      <c r="C542" s="908"/>
      <c r="D542" s="908"/>
      <c r="E542" s="908"/>
      <c r="F542" s="908"/>
      <c r="G542" s="908"/>
      <c r="H542" s="908"/>
      <c r="I542" s="908"/>
      <c r="J542" s="1016"/>
      <c r="K542" s="900"/>
      <c r="L542" s="900"/>
    </row>
    <row r="543" spans="1:12" ht="15.75" customHeight="1">
      <c r="A543" s="908"/>
      <c r="B543" s="908"/>
      <c r="C543" s="908"/>
      <c r="D543" s="908"/>
      <c r="E543" s="908"/>
      <c r="F543" s="908"/>
      <c r="G543" s="908"/>
      <c r="H543" s="908"/>
      <c r="I543" s="908"/>
      <c r="J543" s="1016"/>
      <c r="K543" s="900"/>
      <c r="L543" s="900"/>
    </row>
    <row r="544" spans="1:12" ht="15.75" customHeight="1">
      <c r="A544" s="908"/>
      <c r="B544" s="908"/>
      <c r="C544" s="908"/>
      <c r="D544" s="908"/>
      <c r="E544" s="908"/>
      <c r="F544" s="908"/>
      <c r="G544" s="908"/>
      <c r="H544" s="908"/>
      <c r="I544" s="908"/>
      <c r="J544" s="1016"/>
      <c r="K544" s="900"/>
      <c r="L544" s="900"/>
    </row>
    <row r="545" spans="1:12" ht="15.75" customHeight="1">
      <c r="A545" s="908"/>
      <c r="B545" s="908"/>
      <c r="C545" s="908"/>
      <c r="D545" s="908"/>
      <c r="E545" s="908"/>
      <c r="F545" s="908"/>
      <c r="G545" s="908"/>
      <c r="H545" s="908"/>
      <c r="I545" s="908"/>
      <c r="J545" s="1016"/>
      <c r="K545" s="900"/>
      <c r="L545" s="900"/>
    </row>
    <row r="546" spans="1:12" ht="15.75" customHeight="1">
      <c r="A546" s="908"/>
      <c r="B546" s="908"/>
      <c r="C546" s="908"/>
      <c r="D546" s="908"/>
      <c r="E546" s="908"/>
      <c r="F546" s="908"/>
      <c r="G546" s="908"/>
      <c r="H546" s="908"/>
      <c r="I546" s="908"/>
      <c r="J546" s="1016"/>
      <c r="K546" s="900"/>
      <c r="L546" s="900"/>
    </row>
    <row r="547" spans="1:12" ht="15.75" customHeight="1">
      <c r="A547" s="908"/>
      <c r="B547" s="908"/>
      <c r="C547" s="908"/>
      <c r="D547" s="908"/>
      <c r="E547" s="908"/>
      <c r="F547" s="908"/>
      <c r="G547" s="908"/>
      <c r="H547" s="908"/>
      <c r="I547" s="908"/>
      <c r="J547" s="1016"/>
      <c r="K547" s="900"/>
      <c r="L547" s="900"/>
    </row>
    <row r="548" spans="1:12" ht="15.75" customHeight="1">
      <c r="A548" s="908"/>
      <c r="B548" s="908"/>
      <c r="C548" s="908"/>
      <c r="D548" s="908"/>
      <c r="E548" s="908"/>
      <c r="F548" s="908"/>
      <c r="G548" s="908"/>
      <c r="H548" s="908"/>
      <c r="I548" s="908"/>
      <c r="J548" s="1016"/>
      <c r="K548" s="900"/>
      <c r="L548" s="900"/>
    </row>
    <row r="549" spans="1:12" ht="15.75" customHeight="1">
      <c r="A549" s="908"/>
      <c r="B549" s="908"/>
      <c r="C549" s="908"/>
      <c r="D549" s="908"/>
      <c r="E549" s="908"/>
      <c r="F549" s="908"/>
      <c r="G549" s="908"/>
      <c r="H549" s="908"/>
      <c r="I549" s="908"/>
      <c r="J549" s="1016"/>
      <c r="K549" s="900"/>
      <c r="L549" s="900"/>
    </row>
    <row r="550" spans="1:12" ht="15.75" customHeight="1">
      <c r="A550" s="908"/>
      <c r="B550" s="908"/>
      <c r="C550" s="908"/>
      <c r="D550" s="908"/>
      <c r="E550" s="908"/>
      <c r="F550" s="908"/>
      <c r="G550" s="908"/>
      <c r="H550" s="908"/>
      <c r="I550" s="908"/>
      <c r="J550" s="1016"/>
      <c r="K550" s="900"/>
      <c r="L550" s="900"/>
    </row>
    <row r="551" spans="1:12" ht="15.75" customHeight="1">
      <c r="A551" s="908"/>
      <c r="B551" s="908"/>
      <c r="C551" s="908"/>
      <c r="D551" s="908"/>
      <c r="E551" s="908"/>
      <c r="F551" s="908"/>
      <c r="G551" s="908"/>
      <c r="H551" s="908"/>
      <c r="I551" s="908"/>
      <c r="J551" s="1016"/>
      <c r="K551" s="900"/>
      <c r="L551" s="900"/>
    </row>
    <row r="552" spans="1:12" ht="15.75" customHeight="1">
      <c r="A552" s="908"/>
      <c r="B552" s="908"/>
      <c r="C552" s="908"/>
      <c r="D552" s="908"/>
      <c r="E552" s="908"/>
      <c r="F552" s="908"/>
      <c r="G552" s="908"/>
      <c r="H552" s="908"/>
      <c r="I552" s="908"/>
      <c r="J552" s="1016"/>
      <c r="K552" s="900"/>
      <c r="L552" s="900"/>
    </row>
    <row r="553" spans="1:12" ht="15.75" customHeight="1">
      <c r="A553" s="908"/>
      <c r="B553" s="908"/>
      <c r="C553" s="908"/>
      <c r="D553" s="908"/>
      <c r="E553" s="908"/>
      <c r="F553" s="908"/>
      <c r="G553" s="908"/>
      <c r="H553" s="908"/>
      <c r="I553" s="908"/>
      <c r="J553" s="1016"/>
      <c r="K553" s="900"/>
      <c r="L553" s="900"/>
    </row>
    <row r="554" spans="1:12" ht="15.75" customHeight="1">
      <c r="A554" s="908"/>
      <c r="B554" s="908"/>
      <c r="C554" s="908"/>
      <c r="D554" s="908"/>
      <c r="E554" s="908"/>
      <c r="F554" s="908"/>
      <c r="G554" s="908"/>
      <c r="H554" s="908"/>
      <c r="I554" s="908"/>
      <c r="J554" s="1016"/>
      <c r="K554" s="900"/>
      <c r="L554" s="900"/>
    </row>
    <row r="555" spans="1:12" ht="15.75" customHeight="1">
      <c r="A555" s="908"/>
      <c r="B555" s="908"/>
      <c r="C555" s="908"/>
      <c r="D555" s="908"/>
      <c r="E555" s="908"/>
      <c r="F555" s="908"/>
      <c r="G555" s="908"/>
      <c r="H555" s="908"/>
      <c r="I555" s="908"/>
      <c r="J555" s="1016"/>
      <c r="K555" s="900"/>
      <c r="L555" s="900"/>
    </row>
    <row r="556" spans="1:12" ht="15.75" customHeight="1">
      <c r="A556" s="908"/>
      <c r="B556" s="908"/>
      <c r="C556" s="908"/>
      <c r="D556" s="908"/>
      <c r="E556" s="908"/>
      <c r="F556" s="908"/>
      <c r="G556" s="908"/>
      <c r="H556" s="908"/>
      <c r="I556" s="908"/>
      <c r="J556" s="1016"/>
      <c r="K556" s="900"/>
      <c r="L556" s="900"/>
    </row>
    <row r="557" spans="1:12" ht="15.75" customHeight="1">
      <c r="A557" s="908"/>
      <c r="B557" s="908"/>
      <c r="C557" s="908"/>
      <c r="D557" s="908"/>
      <c r="E557" s="908"/>
      <c r="F557" s="908"/>
      <c r="G557" s="908"/>
      <c r="H557" s="908"/>
      <c r="I557" s="908"/>
      <c r="J557" s="1016"/>
      <c r="K557" s="900"/>
      <c r="L557" s="900"/>
    </row>
    <row r="558" spans="1:12" ht="15.75" customHeight="1">
      <c r="A558" s="908"/>
      <c r="B558" s="908"/>
      <c r="C558" s="908"/>
      <c r="D558" s="908"/>
      <c r="E558" s="908"/>
      <c r="F558" s="908"/>
      <c r="G558" s="908"/>
      <c r="H558" s="908"/>
      <c r="I558" s="908"/>
      <c r="J558" s="1016"/>
      <c r="K558" s="900"/>
      <c r="L558" s="900"/>
    </row>
    <row r="559" spans="1:12" ht="15.75" customHeight="1">
      <c r="A559" s="908"/>
      <c r="B559" s="908"/>
      <c r="C559" s="908"/>
      <c r="D559" s="908"/>
      <c r="E559" s="908"/>
      <c r="F559" s="908"/>
      <c r="G559" s="908"/>
      <c r="H559" s="908"/>
      <c r="I559" s="908"/>
      <c r="J559" s="1016"/>
      <c r="K559" s="900"/>
      <c r="L559" s="900"/>
    </row>
    <row r="560" spans="1:12" ht="15.75" customHeight="1">
      <c r="A560" s="908"/>
      <c r="B560" s="908"/>
      <c r="C560" s="908"/>
      <c r="D560" s="908"/>
      <c r="E560" s="908"/>
      <c r="F560" s="908"/>
      <c r="G560" s="908"/>
      <c r="H560" s="908"/>
      <c r="I560" s="908"/>
      <c r="J560" s="1016"/>
      <c r="K560" s="900"/>
      <c r="L560" s="900"/>
    </row>
    <row r="561" spans="1:12" ht="15.75" customHeight="1">
      <c r="A561" s="908"/>
      <c r="B561" s="908"/>
      <c r="C561" s="908"/>
      <c r="D561" s="908"/>
      <c r="E561" s="908"/>
      <c r="F561" s="908"/>
      <c r="G561" s="908"/>
      <c r="H561" s="908"/>
      <c r="I561" s="908"/>
      <c r="J561" s="1016"/>
      <c r="K561" s="900"/>
      <c r="L561" s="900"/>
    </row>
    <row r="562" spans="1:12" ht="15.75" customHeight="1">
      <c r="A562" s="908"/>
      <c r="B562" s="908"/>
      <c r="C562" s="908"/>
      <c r="D562" s="908"/>
      <c r="E562" s="908"/>
      <c r="F562" s="908"/>
      <c r="G562" s="908"/>
      <c r="H562" s="908"/>
      <c r="I562" s="908"/>
      <c r="J562" s="1016"/>
      <c r="K562" s="900"/>
      <c r="L562" s="900"/>
    </row>
    <row r="563" spans="1:12" ht="15.75" customHeight="1">
      <c r="A563" s="908"/>
      <c r="B563" s="908"/>
      <c r="C563" s="908"/>
      <c r="D563" s="908"/>
      <c r="E563" s="908"/>
      <c r="F563" s="908"/>
      <c r="G563" s="908"/>
      <c r="H563" s="908"/>
      <c r="I563" s="908"/>
      <c r="J563" s="1016"/>
      <c r="K563" s="900"/>
      <c r="L563" s="900"/>
    </row>
    <row r="564" spans="1:12" ht="15.75" customHeight="1">
      <c r="A564" s="908"/>
      <c r="B564" s="908"/>
      <c r="C564" s="908"/>
      <c r="D564" s="908"/>
      <c r="E564" s="908"/>
      <c r="F564" s="908"/>
      <c r="G564" s="908"/>
      <c r="H564" s="908"/>
      <c r="I564" s="908"/>
      <c r="J564" s="1016"/>
      <c r="K564" s="900"/>
      <c r="L564" s="900"/>
    </row>
    <row r="565" spans="1:12" ht="15.75" customHeight="1">
      <c r="A565" s="908"/>
      <c r="B565" s="908"/>
      <c r="C565" s="908"/>
      <c r="D565" s="908"/>
      <c r="E565" s="908"/>
      <c r="F565" s="908"/>
      <c r="G565" s="908"/>
      <c r="H565" s="908"/>
      <c r="I565" s="908"/>
      <c r="J565" s="1016"/>
      <c r="K565" s="900"/>
      <c r="L565" s="900"/>
    </row>
    <row r="566" spans="1:12" ht="15.75" customHeight="1">
      <c r="A566" s="908"/>
      <c r="B566" s="908"/>
      <c r="C566" s="908"/>
      <c r="D566" s="908"/>
      <c r="E566" s="908"/>
      <c r="F566" s="908"/>
      <c r="G566" s="908"/>
      <c r="H566" s="908"/>
      <c r="I566" s="908"/>
      <c r="J566" s="1016"/>
      <c r="K566" s="900"/>
      <c r="L566" s="900"/>
    </row>
    <row r="567" spans="1:12" ht="15.75" customHeight="1">
      <c r="A567" s="908"/>
      <c r="B567" s="908"/>
      <c r="C567" s="908"/>
      <c r="D567" s="908"/>
      <c r="E567" s="908"/>
      <c r="F567" s="908"/>
      <c r="G567" s="908"/>
      <c r="H567" s="908"/>
      <c r="I567" s="908"/>
      <c r="J567" s="1016"/>
      <c r="K567" s="900"/>
      <c r="L567" s="900"/>
    </row>
    <row r="568" spans="1:12" ht="15.75" customHeight="1">
      <c r="A568" s="908"/>
      <c r="B568" s="908"/>
      <c r="C568" s="908"/>
      <c r="D568" s="908"/>
      <c r="E568" s="908"/>
      <c r="F568" s="908"/>
      <c r="G568" s="908"/>
      <c r="H568" s="908"/>
      <c r="I568" s="908"/>
      <c r="J568" s="1016"/>
      <c r="K568" s="900"/>
      <c r="L568" s="900"/>
    </row>
    <row r="569" spans="1:12" ht="15.75" customHeight="1">
      <c r="A569" s="908"/>
      <c r="B569" s="908"/>
      <c r="C569" s="908"/>
      <c r="D569" s="908"/>
      <c r="E569" s="908"/>
      <c r="F569" s="908"/>
      <c r="G569" s="908"/>
      <c r="H569" s="908"/>
      <c r="I569" s="908"/>
      <c r="J569" s="1016"/>
      <c r="K569" s="900"/>
      <c r="L569" s="900"/>
    </row>
    <row r="570" spans="1:12" ht="15.75" customHeight="1">
      <c r="A570" s="908"/>
      <c r="B570" s="908"/>
      <c r="C570" s="908"/>
      <c r="D570" s="908"/>
      <c r="E570" s="908"/>
      <c r="F570" s="908"/>
      <c r="G570" s="908"/>
      <c r="H570" s="908"/>
      <c r="I570" s="908"/>
      <c r="J570" s="1016"/>
      <c r="K570" s="900"/>
      <c r="L570" s="900"/>
    </row>
    <row r="571" spans="1:12" ht="15.75" customHeight="1">
      <c r="A571" s="908"/>
      <c r="B571" s="908"/>
      <c r="C571" s="908"/>
      <c r="D571" s="908"/>
      <c r="E571" s="908"/>
      <c r="F571" s="908"/>
      <c r="G571" s="908"/>
      <c r="H571" s="908"/>
      <c r="I571" s="908"/>
      <c r="J571" s="1016"/>
      <c r="K571" s="900"/>
      <c r="L571" s="900"/>
    </row>
    <row r="572" spans="1:12" ht="15.75" customHeight="1">
      <c r="A572" s="908"/>
      <c r="B572" s="908"/>
      <c r="C572" s="908"/>
      <c r="D572" s="908"/>
      <c r="E572" s="908"/>
      <c r="F572" s="908"/>
      <c r="G572" s="908"/>
      <c r="H572" s="908"/>
      <c r="I572" s="908"/>
      <c r="J572" s="1016"/>
      <c r="K572" s="900"/>
      <c r="L572" s="900"/>
    </row>
    <row r="573" spans="1:12" ht="15.75" customHeight="1">
      <c r="A573" s="908"/>
      <c r="B573" s="908"/>
      <c r="C573" s="908"/>
      <c r="D573" s="908"/>
      <c r="E573" s="908"/>
      <c r="F573" s="908"/>
      <c r="G573" s="908"/>
      <c r="H573" s="908"/>
      <c r="I573" s="908"/>
      <c r="J573" s="1016"/>
      <c r="K573" s="900"/>
      <c r="L573" s="900"/>
    </row>
    <row r="574" spans="1:12" ht="15.75" customHeight="1">
      <c r="A574" s="908"/>
      <c r="B574" s="908"/>
      <c r="C574" s="908"/>
      <c r="D574" s="908"/>
      <c r="E574" s="908"/>
      <c r="F574" s="908"/>
      <c r="G574" s="908"/>
      <c r="H574" s="908"/>
      <c r="I574" s="908"/>
      <c r="J574" s="1016"/>
      <c r="K574" s="900"/>
      <c r="L574" s="900"/>
    </row>
    <row r="575" spans="1:12" ht="15.75" customHeight="1">
      <c r="A575" s="908"/>
      <c r="B575" s="908"/>
      <c r="C575" s="908"/>
      <c r="D575" s="908"/>
      <c r="E575" s="908"/>
      <c r="F575" s="908"/>
      <c r="G575" s="908"/>
      <c r="H575" s="908"/>
      <c r="I575" s="908"/>
      <c r="J575" s="1016"/>
      <c r="K575" s="900"/>
      <c r="L575" s="900"/>
    </row>
    <row r="576" spans="1:12" ht="15.75" customHeight="1">
      <c r="A576" s="908"/>
      <c r="B576" s="908"/>
      <c r="C576" s="908"/>
      <c r="D576" s="908"/>
      <c r="E576" s="908"/>
      <c r="F576" s="908"/>
      <c r="G576" s="908"/>
      <c r="H576" s="908"/>
      <c r="I576" s="908"/>
      <c r="J576" s="1016"/>
      <c r="K576" s="900"/>
      <c r="L576" s="900"/>
    </row>
    <row r="577" spans="1:12" ht="15.75" customHeight="1">
      <c r="A577" s="908"/>
      <c r="B577" s="908"/>
      <c r="C577" s="908"/>
      <c r="D577" s="908"/>
      <c r="E577" s="908"/>
      <c r="F577" s="908"/>
      <c r="G577" s="908"/>
      <c r="H577" s="908"/>
      <c r="I577" s="908"/>
      <c r="J577" s="1016"/>
      <c r="K577" s="900"/>
      <c r="L577" s="900"/>
    </row>
    <row r="578" spans="1:12" ht="15.75" customHeight="1">
      <c r="A578" s="908"/>
      <c r="B578" s="908"/>
      <c r="C578" s="908"/>
      <c r="D578" s="908"/>
      <c r="E578" s="908"/>
      <c r="F578" s="908"/>
      <c r="G578" s="908"/>
      <c r="H578" s="908"/>
      <c r="I578" s="908"/>
      <c r="J578" s="1016"/>
      <c r="K578" s="900"/>
      <c r="L578" s="900"/>
    </row>
    <row r="579" spans="1:12" ht="15.75" customHeight="1">
      <c r="A579" s="908"/>
      <c r="B579" s="908"/>
      <c r="C579" s="908"/>
      <c r="D579" s="908"/>
      <c r="E579" s="908"/>
      <c r="F579" s="908"/>
      <c r="G579" s="908"/>
      <c r="H579" s="908"/>
      <c r="I579" s="908"/>
      <c r="J579" s="1016"/>
      <c r="K579" s="900"/>
      <c r="L579" s="900"/>
    </row>
    <row r="580" spans="1:12" ht="15.75" customHeight="1">
      <c r="A580" s="908"/>
      <c r="B580" s="908"/>
      <c r="C580" s="908"/>
      <c r="D580" s="908"/>
      <c r="E580" s="908"/>
      <c r="F580" s="908"/>
      <c r="G580" s="908"/>
      <c r="H580" s="908"/>
      <c r="I580" s="908"/>
      <c r="J580" s="1016"/>
      <c r="K580" s="900"/>
      <c r="L580" s="900"/>
    </row>
    <row r="581" spans="1:12" ht="15.75" customHeight="1">
      <c r="A581" s="908"/>
      <c r="B581" s="908"/>
      <c r="C581" s="908"/>
      <c r="D581" s="908"/>
      <c r="E581" s="908"/>
      <c r="F581" s="908"/>
      <c r="G581" s="908"/>
      <c r="H581" s="908"/>
      <c r="I581" s="908"/>
      <c r="J581" s="1016"/>
      <c r="K581" s="900"/>
      <c r="L581" s="900"/>
    </row>
    <row r="582" spans="1:12" ht="15.75" customHeight="1">
      <c r="A582" s="908"/>
      <c r="B582" s="908"/>
      <c r="C582" s="908"/>
      <c r="D582" s="908"/>
      <c r="E582" s="908"/>
      <c r="F582" s="908"/>
      <c r="G582" s="908"/>
      <c r="H582" s="908"/>
      <c r="I582" s="908"/>
      <c r="J582" s="1016"/>
      <c r="K582" s="900"/>
      <c r="L582" s="900"/>
    </row>
    <row r="583" spans="1:12" ht="15.75" customHeight="1">
      <c r="A583" s="908"/>
      <c r="B583" s="908"/>
      <c r="C583" s="908"/>
      <c r="D583" s="908"/>
      <c r="E583" s="908"/>
      <c r="F583" s="908"/>
      <c r="G583" s="908"/>
      <c r="H583" s="908"/>
      <c r="I583" s="908"/>
      <c r="J583" s="1016"/>
      <c r="K583" s="900"/>
      <c r="L583" s="900"/>
    </row>
    <row r="584" spans="1:12" ht="15.75" customHeight="1">
      <c r="A584" s="908"/>
      <c r="B584" s="908"/>
      <c r="C584" s="908"/>
      <c r="D584" s="908"/>
      <c r="E584" s="908"/>
      <c r="F584" s="908"/>
      <c r="G584" s="908"/>
      <c r="H584" s="908"/>
      <c r="I584" s="908"/>
      <c r="J584" s="1016"/>
      <c r="K584" s="900"/>
      <c r="L584" s="900"/>
    </row>
    <row r="585" spans="1:12" ht="15.75" customHeight="1">
      <c r="A585" s="908"/>
      <c r="B585" s="908"/>
      <c r="C585" s="908"/>
      <c r="D585" s="908"/>
      <c r="E585" s="908"/>
      <c r="F585" s="908"/>
      <c r="G585" s="908"/>
      <c r="H585" s="908"/>
      <c r="I585" s="908"/>
      <c r="J585" s="1016"/>
      <c r="K585" s="900"/>
      <c r="L585" s="900"/>
    </row>
    <row r="586" spans="1:12" ht="15.75" customHeight="1">
      <c r="A586" s="908"/>
      <c r="B586" s="908"/>
      <c r="C586" s="908"/>
      <c r="D586" s="908"/>
      <c r="E586" s="908"/>
      <c r="F586" s="908"/>
      <c r="G586" s="908"/>
      <c r="H586" s="908"/>
      <c r="I586" s="908"/>
      <c r="J586" s="1016"/>
      <c r="K586" s="900"/>
      <c r="L586" s="900"/>
    </row>
    <row r="587" spans="1:12" ht="15.75" customHeight="1">
      <c r="A587" s="908"/>
      <c r="B587" s="908"/>
      <c r="C587" s="908"/>
      <c r="D587" s="908"/>
      <c r="E587" s="908"/>
      <c r="F587" s="908"/>
      <c r="G587" s="908"/>
      <c r="H587" s="908"/>
      <c r="I587" s="908"/>
      <c r="J587" s="1016"/>
      <c r="K587" s="900"/>
      <c r="L587" s="900"/>
    </row>
    <row r="588" spans="1:12" ht="15.75" customHeight="1">
      <c r="A588" s="908"/>
      <c r="B588" s="908"/>
      <c r="C588" s="908"/>
      <c r="D588" s="908"/>
      <c r="E588" s="908"/>
      <c r="F588" s="908"/>
      <c r="G588" s="908"/>
      <c r="H588" s="908"/>
      <c r="I588" s="908"/>
      <c r="J588" s="1016"/>
      <c r="K588" s="900"/>
      <c r="L588" s="900"/>
    </row>
    <row r="589" spans="1:12" ht="15.75" customHeight="1">
      <c r="A589" s="908"/>
      <c r="B589" s="908"/>
      <c r="C589" s="908"/>
      <c r="D589" s="908"/>
      <c r="E589" s="908"/>
      <c r="F589" s="908"/>
      <c r="G589" s="908"/>
      <c r="H589" s="908"/>
      <c r="I589" s="908"/>
      <c r="J589" s="1016"/>
      <c r="K589" s="900"/>
      <c r="L589" s="900"/>
    </row>
    <row r="590" spans="1:12" ht="15.75" customHeight="1">
      <c r="A590" s="908"/>
      <c r="B590" s="908"/>
      <c r="C590" s="908"/>
      <c r="D590" s="908"/>
      <c r="E590" s="908"/>
      <c r="F590" s="908"/>
      <c r="G590" s="908"/>
      <c r="H590" s="908"/>
      <c r="I590" s="908"/>
      <c r="J590" s="1016"/>
      <c r="K590" s="900"/>
      <c r="L590" s="900"/>
    </row>
    <row r="591" spans="1:12" ht="15.75" customHeight="1">
      <c r="A591" s="908"/>
      <c r="B591" s="908"/>
      <c r="C591" s="908"/>
      <c r="D591" s="908"/>
      <c r="E591" s="908"/>
      <c r="F591" s="908"/>
      <c r="G591" s="908"/>
      <c r="H591" s="908"/>
      <c r="I591" s="908"/>
      <c r="J591" s="1016"/>
      <c r="K591" s="900"/>
      <c r="L591" s="900"/>
    </row>
    <row r="592" spans="1:12" ht="15.75" customHeight="1">
      <c r="A592" s="908"/>
      <c r="B592" s="908"/>
      <c r="C592" s="908"/>
      <c r="D592" s="908"/>
      <c r="E592" s="908"/>
      <c r="F592" s="908"/>
      <c r="G592" s="908"/>
      <c r="H592" s="908"/>
      <c r="I592" s="908"/>
      <c r="J592" s="1016"/>
      <c r="K592" s="900"/>
      <c r="L592" s="900"/>
    </row>
    <row r="593" spans="1:12" ht="15.75" customHeight="1">
      <c r="A593" s="908"/>
      <c r="B593" s="908"/>
      <c r="C593" s="908"/>
      <c r="D593" s="908"/>
      <c r="E593" s="908"/>
      <c r="F593" s="908"/>
      <c r="G593" s="908"/>
      <c r="H593" s="908"/>
      <c r="I593" s="908"/>
      <c r="J593" s="1016"/>
      <c r="K593" s="900"/>
      <c r="L593" s="900"/>
    </row>
    <row r="594" spans="1:12" ht="15.75" customHeight="1">
      <c r="A594" s="908"/>
      <c r="B594" s="908"/>
      <c r="C594" s="908"/>
      <c r="D594" s="908"/>
      <c r="E594" s="908"/>
      <c r="F594" s="908"/>
      <c r="G594" s="908"/>
      <c r="H594" s="908"/>
      <c r="I594" s="908"/>
      <c r="J594" s="1016"/>
      <c r="K594" s="900"/>
      <c r="L594" s="900"/>
    </row>
    <row r="595" spans="1:12" ht="15.75" customHeight="1">
      <c r="A595" s="908"/>
      <c r="B595" s="908"/>
      <c r="C595" s="908"/>
      <c r="D595" s="908"/>
      <c r="E595" s="908"/>
      <c r="F595" s="908"/>
      <c r="G595" s="908"/>
      <c r="H595" s="908"/>
      <c r="I595" s="908"/>
      <c r="J595" s="1016"/>
      <c r="K595" s="900"/>
      <c r="L595" s="900"/>
    </row>
    <row r="596" spans="1:12" ht="15.75" customHeight="1">
      <c r="A596" s="908"/>
      <c r="B596" s="908"/>
      <c r="C596" s="908"/>
      <c r="D596" s="908"/>
      <c r="E596" s="908"/>
      <c r="F596" s="908"/>
      <c r="G596" s="908"/>
      <c r="H596" s="908"/>
      <c r="I596" s="908"/>
      <c r="J596" s="1016"/>
      <c r="K596" s="900"/>
      <c r="L596" s="900"/>
    </row>
    <row r="597" spans="1:12" ht="15.75" customHeight="1">
      <c r="A597" s="908"/>
      <c r="B597" s="908"/>
      <c r="C597" s="908"/>
      <c r="D597" s="908"/>
      <c r="E597" s="908"/>
      <c r="F597" s="908"/>
      <c r="G597" s="908"/>
      <c r="H597" s="908"/>
      <c r="I597" s="908"/>
      <c r="J597" s="1016"/>
      <c r="K597" s="900"/>
      <c r="L597" s="900"/>
    </row>
    <row r="598" spans="1:12" ht="15.75" customHeight="1">
      <c r="A598" s="908"/>
      <c r="B598" s="908"/>
      <c r="C598" s="908"/>
      <c r="D598" s="908"/>
      <c r="E598" s="908"/>
      <c r="F598" s="908"/>
      <c r="G598" s="908"/>
      <c r="H598" s="908"/>
      <c r="I598" s="908"/>
      <c r="J598" s="1016"/>
      <c r="K598" s="900"/>
      <c r="L598" s="900"/>
    </row>
    <row r="599" spans="1:12" ht="15.75" customHeight="1">
      <c r="A599" s="908"/>
      <c r="B599" s="908"/>
      <c r="C599" s="908"/>
      <c r="D599" s="908"/>
      <c r="E599" s="908"/>
      <c r="F599" s="908"/>
      <c r="G599" s="908"/>
      <c r="H599" s="908"/>
      <c r="I599" s="908"/>
      <c r="J599" s="1016"/>
      <c r="K599" s="900"/>
      <c r="L599" s="900"/>
    </row>
    <row r="600" spans="1:12" ht="15.75" customHeight="1">
      <c r="A600" s="908"/>
      <c r="B600" s="908"/>
      <c r="C600" s="908"/>
      <c r="D600" s="908"/>
      <c r="E600" s="908"/>
      <c r="F600" s="908"/>
      <c r="G600" s="908"/>
      <c r="H600" s="908"/>
      <c r="I600" s="908"/>
      <c r="J600" s="1016"/>
      <c r="K600" s="900"/>
      <c r="L600" s="900"/>
    </row>
    <row r="601" spans="1:12" ht="15.75" customHeight="1">
      <c r="A601" s="908"/>
      <c r="B601" s="908"/>
      <c r="C601" s="908"/>
      <c r="D601" s="908"/>
      <c r="E601" s="908"/>
      <c r="F601" s="908"/>
      <c r="G601" s="908"/>
      <c r="H601" s="908"/>
      <c r="I601" s="908"/>
      <c r="J601" s="1016"/>
      <c r="K601" s="900"/>
      <c r="L601" s="900"/>
    </row>
    <row r="602" spans="1:12" ht="15.75" customHeight="1">
      <c r="A602" s="908"/>
      <c r="B602" s="908"/>
      <c r="C602" s="908"/>
      <c r="D602" s="908"/>
      <c r="E602" s="908"/>
      <c r="F602" s="908"/>
      <c r="G602" s="908"/>
      <c r="H602" s="908"/>
      <c r="I602" s="908"/>
      <c r="J602" s="1016"/>
      <c r="K602" s="900"/>
      <c r="L602" s="900"/>
    </row>
    <row r="603" spans="1:12" ht="15.75" customHeight="1">
      <c r="A603" s="908"/>
      <c r="B603" s="908"/>
      <c r="C603" s="908"/>
      <c r="D603" s="908"/>
      <c r="E603" s="908"/>
      <c r="F603" s="908"/>
      <c r="G603" s="908"/>
      <c r="H603" s="908"/>
      <c r="I603" s="908"/>
      <c r="J603" s="1016"/>
      <c r="K603" s="900"/>
      <c r="L603" s="900"/>
    </row>
    <row r="604" spans="1:12" ht="15.75" customHeight="1">
      <c r="A604" s="908"/>
      <c r="B604" s="908"/>
      <c r="C604" s="908"/>
      <c r="D604" s="908"/>
      <c r="E604" s="908"/>
      <c r="F604" s="908"/>
      <c r="G604" s="908"/>
      <c r="H604" s="908"/>
      <c r="I604" s="908"/>
      <c r="J604" s="1016"/>
      <c r="K604" s="900"/>
      <c r="L604" s="900"/>
    </row>
    <row r="605" spans="1:12" ht="15.75" customHeight="1">
      <c r="A605" s="908"/>
      <c r="B605" s="908"/>
      <c r="C605" s="908"/>
      <c r="D605" s="908"/>
      <c r="E605" s="908"/>
      <c r="F605" s="908"/>
      <c r="G605" s="908"/>
      <c r="H605" s="908"/>
      <c r="I605" s="908"/>
      <c r="J605" s="1016"/>
      <c r="K605" s="900"/>
      <c r="L605" s="900"/>
    </row>
    <row r="606" spans="1:12" ht="15.75" customHeight="1">
      <c r="A606" s="908"/>
      <c r="B606" s="908"/>
      <c r="C606" s="908"/>
      <c r="D606" s="908"/>
      <c r="E606" s="908"/>
      <c r="F606" s="908"/>
      <c r="G606" s="908"/>
      <c r="H606" s="908"/>
      <c r="I606" s="908"/>
      <c r="J606" s="1016"/>
      <c r="K606" s="900"/>
      <c r="L606" s="900"/>
    </row>
    <row r="607" spans="1:12" ht="15.75" customHeight="1">
      <c r="A607" s="908"/>
      <c r="B607" s="908"/>
      <c r="C607" s="908"/>
      <c r="D607" s="908"/>
      <c r="E607" s="908"/>
      <c r="F607" s="908"/>
      <c r="G607" s="908"/>
      <c r="H607" s="908"/>
      <c r="I607" s="908"/>
      <c r="J607" s="1016"/>
      <c r="K607" s="900"/>
      <c r="L607" s="900"/>
    </row>
    <row r="608" spans="1:12" ht="15.75" customHeight="1">
      <c r="A608" s="908"/>
      <c r="B608" s="908"/>
      <c r="C608" s="908"/>
      <c r="D608" s="908"/>
      <c r="E608" s="908"/>
      <c r="F608" s="908"/>
      <c r="G608" s="908"/>
      <c r="H608" s="908"/>
      <c r="I608" s="908"/>
      <c r="J608" s="1016"/>
      <c r="K608" s="900"/>
      <c r="L608" s="900"/>
    </row>
    <row r="609" spans="1:12" ht="15.75" customHeight="1">
      <c r="A609" s="908"/>
      <c r="B609" s="908"/>
      <c r="C609" s="908"/>
      <c r="D609" s="908"/>
      <c r="E609" s="908"/>
      <c r="F609" s="908"/>
      <c r="G609" s="908"/>
      <c r="H609" s="908"/>
      <c r="I609" s="908"/>
      <c r="J609" s="1016"/>
      <c r="K609" s="900"/>
      <c r="L609" s="900"/>
    </row>
    <row r="610" spans="1:12" ht="15.75" customHeight="1">
      <c r="A610" s="908"/>
      <c r="B610" s="908"/>
      <c r="C610" s="908"/>
      <c r="D610" s="908"/>
      <c r="E610" s="908"/>
      <c r="F610" s="908"/>
      <c r="G610" s="908"/>
      <c r="H610" s="908"/>
      <c r="I610" s="908"/>
      <c r="J610" s="1016"/>
      <c r="K610" s="900"/>
      <c r="L610" s="900"/>
    </row>
    <row r="611" spans="1:12" ht="15.75" customHeight="1">
      <c r="A611" s="908"/>
      <c r="B611" s="908"/>
      <c r="C611" s="908"/>
      <c r="D611" s="908"/>
      <c r="E611" s="908"/>
      <c r="F611" s="908"/>
      <c r="G611" s="908"/>
      <c r="H611" s="908"/>
      <c r="I611" s="908"/>
      <c r="J611" s="1016"/>
      <c r="K611" s="900"/>
      <c r="L611" s="900"/>
    </row>
    <row r="612" spans="1:12" ht="15.75" customHeight="1">
      <c r="A612" s="908"/>
      <c r="B612" s="908"/>
      <c r="C612" s="908"/>
      <c r="D612" s="908"/>
      <c r="E612" s="908"/>
      <c r="F612" s="908"/>
      <c r="G612" s="908"/>
      <c r="H612" s="908"/>
      <c r="I612" s="908"/>
      <c r="J612" s="1016"/>
      <c r="K612" s="900"/>
      <c r="L612" s="900"/>
    </row>
    <row r="613" spans="1:12" ht="15.75" customHeight="1">
      <c r="A613" s="908"/>
      <c r="B613" s="908"/>
      <c r="C613" s="908"/>
      <c r="D613" s="908"/>
      <c r="E613" s="908"/>
      <c r="F613" s="908"/>
      <c r="G613" s="908"/>
      <c r="H613" s="908"/>
      <c r="I613" s="908"/>
      <c r="J613" s="1016"/>
      <c r="K613" s="900"/>
      <c r="L613" s="900"/>
    </row>
    <row r="614" spans="1:12" ht="15.75" customHeight="1">
      <c r="A614" s="908"/>
      <c r="B614" s="908"/>
      <c r="C614" s="908"/>
      <c r="D614" s="908"/>
      <c r="E614" s="908"/>
      <c r="F614" s="908"/>
      <c r="G614" s="908"/>
      <c r="H614" s="908"/>
      <c r="I614" s="908"/>
      <c r="J614" s="1016"/>
      <c r="K614" s="900"/>
      <c r="L614" s="900"/>
    </row>
    <row r="615" spans="1:12" ht="15.75" customHeight="1">
      <c r="A615" s="908"/>
      <c r="B615" s="908"/>
      <c r="C615" s="908"/>
      <c r="D615" s="908"/>
      <c r="E615" s="908"/>
      <c r="F615" s="908"/>
      <c r="G615" s="908"/>
      <c r="H615" s="908"/>
      <c r="I615" s="908"/>
      <c r="J615" s="1016"/>
      <c r="K615" s="900"/>
      <c r="L615" s="900"/>
    </row>
    <row r="616" spans="1:12" ht="15.75" customHeight="1">
      <c r="A616" s="908"/>
      <c r="B616" s="908"/>
      <c r="C616" s="908"/>
      <c r="D616" s="908"/>
      <c r="E616" s="908"/>
      <c r="F616" s="908"/>
      <c r="G616" s="908"/>
      <c r="H616" s="908"/>
      <c r="I616" s="908"/>
      <c r="J616" s="1016"/>
      <c r="K616" s="900"/>
      <c r="L616" s="900"/>
    </row>
    <row r="617" spans="1:12" ht="15.75" customHeight="1">
      <c r="A617" s="908"/>
      <c r="B617" s="908"/>
      <c r="C617" s="908"/>
      <c r="D617" s="908"/>
      <c r="E617" s="908"/>
      <c r="F617" s="908"/>
      <c r="G617" s="908"/>
      <c r="H617" s="908"/>
      <c r="I617" s="908"/>
      <c r="J617" s="1016"/>
      <c r="K617" s="900"/>
      <c r="L617" s="900"/>
    </row>
    <row r="618" spans="1:12" ht="15.75" customHeight="1">
      <c r="A618" s="908"/>
      <c r="B618" s="908"/>
      <c r="C618" s="908"/>
      <c r="D618" s="908"/>
      <c r="E618" s="908"/>
      <c r="F618" s="908"/>
      <c r="G618" s="908"/>
      <c r="H618" s="908"/>
      <c r="I618" s="908"/>
      <c r="J618" s="1016"/>
      <c r="K618" s="900"/>
      <c r="L618" s="900"/>
    </row>
    <row r="619" spans="1:12" ht="15.75" customHeight="1">
      <c r="A619" s="908"/>
      <c r="B619" s="908"/>
      <c r="C619" s="908"/>
      <c r="D619" s="908"/>
      <c r="E619" s="908"/>
      <c r="F619" s="908"/>
      <c r="G619" s="908"/>
      <c r="H619" s="908"/>
      <c r="I619" s="908"/>
      <c r="J619" s="1016"/>
      <c r="K619" s="900"/>
      <c r="L619" s="900"/>
    </row>
    <row r="620" spans="1:12" ht="15.75" customHeight="1">
      <c r="A620" s="908"/>
      <c r="B620" s="908"/>
      <c r="C620" s="908"/>
      <c r="D620" s="908"/>
      <c r="E620" s="908"/>
      <c r="F620" s="908"/>
      <c r="G620" s="908"/>
      <c r="H620" s="908"/>
      <c r="I620" s="908"/>
      <c r="J620" s="1016"/>
      <c r="K620" s="900"/>
      <c r="L620" s="900"/>
    </row>
    <row r="621" spans="1:12" ht="15.75" customHeight="1">
      <c r="A621" s="908"/>
      <c r="B621" s="908"/>
      <c r="C621" s="908"/>
      <c r="D621" s="908"/>
      <c r="E621" s="908"/>
      <c r="F621" s="908"/>
      <c r="G621" s="908"/>
      <c r="H621" s="908"/>
      <c r="I621" s="908"/>
      <c r="J621" s="1016"/>
      <c r="K621" s="900"/>
      <c r="L621" s="900"/>
    </row>
    <row r="622" spans="1:12" ht="15.75" customHeight="1">
      <c r="A622" s="908"/>
      <c r="B622" s="908"/>
      <c r="C622" s="908"/>
      <c r="D622" s="908"/>
      <c r="E622" s="908"/>
      <c r="F622" s="908"/>
      <c r="G622" s="908"/>
      <c r="H622" s="908"/>
      <c r="I622" s="908"/>
      <c r="J622" s="1016"/>
      <c r="K622" s="900"/>
      <c r="L622" s="900"/>
    </row>
    <row r="623" spans="1:12" ht="15.75" customHeight="1">
      <c r="A623" s="908"/>
      <c r="B623" s="908"/>
      <c r="C623" s="908"/>
      <c r="D623" s="908"/>
      <c r="E623" s="908"/>
      <c r="F623" s="908"/>
      <c r="G623" s="908"/>
      <c r="H623" s="908"/>
      <c r="I623" s="908"/>
      <c r="J623" s="1016"/>
      <c r="K623" s="900"/>
      <c r="L623" s="900"/>
    </row>
    <row r="624" spans="1:12" ht="15.75" customHeight="1">
      <c r="A624" s="908"/>
      <c r="B624" s="908"/>
      <c r="C624" s="908"/>
      <c r="D624" s="908"/>
      <c r="E624" s="908"/>
      <c r="F624" s="908"/>
      <c r="G624" s="908"/>
      <c r="H624" s="908"/>
      <c r="I624" s="908"/>
      <c r="J624" s="1016"/>
      <c r="K624" s="900"/>
      <c r="L624" s="900"/>
    </row>
    <row r="625" spans="1:12" ht="15.75" customHeight="1">
      <c r="A625" s="908"/>
      <c r="B625" s="908"/>
      <c r="C625" s="908"/>
      <c r="D625" s="908"/>
      <c r="E625" s="908"/>
      <c r="F625" s="908"/>
      <c r="G625" s="908"/>
      <c r="H625" s="908"/>
      <c r="I625" s="908"/>
      <c r="J625" s="1016"/>
      <c r="K625" s="900"/>
      <c r="L625" s="900"/>
    </row>
    <row r="626" spans="1:12" ht="15.75" customHeight="1">
      <c r="A626" s="908"/>
      <c r="B626" s="908"/>
      <c r="C626" s="908"/>
      <c r="D626" s="908"/>
      <c r="E626" s="908"/>
      <c r="F626" s="908"/>
      <c r="G626" s="908"/>
      <c r="H626" s="908"/>
      <c r="I626" s="908"/>
      <c r="J626" s="1016"/>
      <c r="K626" s="900"/>
      <c r="L626" s="900"/>
    </row>
    <row r="627" spans="1:12" ht="15.75" customHeight="1">
      <c r="A627" s="908"/>
      <c r="B627" s="908"/>
      <c r="C627" s="908"/>
      <c r="D627" s="908"/>
      <c r="E627" s="908"/>
      <c r="F627" s="908"/>
      <c r="G627" s="908"/>
      <c r="H627" s="908"/>
      <c r="I627" s="908"/>
      <c r="J627" s="1016"/>
      <c r="K627" s="900"/>
      <c r="L627" s="900"/>
    </row>
    <row r="628" spans="1:12" ht="15.75" customHeight="1">
      <c r="A628" s="908"/>
      <c r="B628" s="908"/>
      <c r="C628" s="908"/>
      <c r="D628" s="908"/>
      <c r="E628" s="908"/>
      <c r="F628" s="908"/>
      <c r="G628" s="908"/>
      <c r="H628" s="908"/>
      <c r="I628" s="908"/>
      <c r="J628" s="1016"/>
      <c r="K628" s="900"/>
      <c r="L628" s="900"/>
    </row>
    <row r="629" spans="1:12" ht="15.75" customHeight="1">
      <c r="A629" s="908"/>
      <c r="B629" s="908"/>
      <c r="C629" s="908"/>
      <c r="D629" s="908"/>
      <c r="E629" s="908"/>
      <c r="F629" s="908"/>
      <c r="G629" s="908"/>
      <c r="H629" s="908"/>
      <c r="I629" s="908"/>
      <c r="J629" s="1016"/>
      <c r="K629" s="900"/>
      <c r="L629" s="900"/>
    </row>
    <row r="630" spans="1:12" ht="15.75" customHeight="1">
      <c r="A630" s="908"/>
      <c r="B630" s="908"/>
      <c r="C630" s="908"/>
      <c r="D630" s="908"/>
      <c r="E630" s="908"/>
      <c r="F630" s="908"/>
      <c r="G630" s="908"/>
      <c r="H630" s="908"/>
      <c r="I630" s="908"/>
      <c r="J630" s="1016"/>
      <c r="K630" s="900"/>
      <c r="L630" s="900"/>
    </row>
    <row r="631" spans="1:12" ht="15.75" customHeight="1">
      <c r="A631" s="908"/>
      <c r="B631" s="908"/>
      <c r="C631" s="908"/>
      <c r="D631" s="908"/>
      <c r="E631" s="908"/>
      <c r="F631" s="908"/>
      <c r="G631" s="908"/>
      <c r="H631" s="908"/>
      <c r="I631" s="908"/>
      <c r="J631" s="1016"/>
      <c r="K631" s="900"/>
      <c r="L631" s="900"/>
    </row>
    <row r="632" spans="1:12" ht="15.75" customHeight="1">
      <c r="A632" s="908"/>
      <c r="B632" s="908"/>
      <c r="C632" s="908"/>
      <c r="D632" s="908"/>
      <c r="E632" s="908"/>
      <c r="F632" s="908"/>
      <c r="G632" s="908"/>
      <c r="H632" s="908"/>
      <c r="I632" s="908"/>
      <c r="J632" s="1016"/>
      <c r="K632" s="900"/>
      <c r="L632" s="900"/>
    </row>
    <row r="633" spans="1:12" ht="15.75" customHeight="1">
      <c r="A633" s="908"/>
      <c r="B633" s="908"/>
      <c r="C633" s="908"/>
      <c r="D633" s="908"/>
      <c r="E633" s="908"/>
      <c r="F633" s="908"/>
      <c r="G633" s="908"/>
      <c r="H633" s="908"/>
      <c r="I633" s="908"/>
      <c r="J633" s="1016"/>
      <c r="K633" s="900"/>
      <c r="L633" s="900"/>
    </row>
    <row r="634" spans="1:12" ht="15.75" customHeight="1">
      <c r="A634" s="908"/>
      <c r="B634" s="908"/>
      <c r="C634" s="908"/>
      <c r="D634" s="908"/>
      <c r="E634" s="908"/>
      <c r="F634" s="908"/>
      <c r="G634" s="908"/>
      <c r="H634" s="908"/>
      <c r="I634" s="908"/>
      <c r="J634" s="1016"/>
      <c r="K634" s="900"/>
      <c r="L634" s="900"/>
    </row>
    <row r="635" spans="1:12" ht="15.75" customHeight="1">
      <c r="A635" s="908"/>
      <c r="B635" s="908"/>
      <c r="C635" s="908"/>
      <c r="D635" s="908"/>
      <c r="E635" s="908"/>
      <c r="F635" s="908"/>
      <c r="G635" s="908"/>
      <c r="H635" s="908"/>
      <c r="I635" s="908"/>
      <c r="J635" s="1016"/>
      <c r="K635" s="900"/>
      <c r="L635" s="900"/>
    </row>
    <row r="636" spans="1:12" ht="15.75" customHeight="1">
      <c r="A636" s="908"/>
      <c r="B636" s="908"/>
      <c r="C636" s="908"/>
      <c r="D636" s="908"/>
      <c r="E636" s="908"/>
      <c r="F636" s="908"/>
      <c r="G636" s="908"/>
      <c r="H636" s="908"/>
      <c r="I636" s="908"/>
      <c r="J636" s="1016"/>
      <c r="K636" s="900"/>
      <c r="L636" s="900"/>
    </row>
    <row r="637" spans="1:12" ht="15.75" customHeight="1">
      <c r="A637" s="908"/>
      <c r="B637" s="908"/>
      <c r="C637" s="908"/>
      <c r="D637" s="908"/>
      <c r="E637" s="908"/>
      <c r="F637" s="908"/>
      <c r="G637" s="908"/>
      <c r="H637" s="908"/>
      <c r="I637" s="908"/>
      <c r="J637" s="1016"/>
      <c r="K637" s="900"/>
      <c r="L637" s="900"/>
    </row>
    <row r="638" spans="1:12" ht="15.75" customHeight="1">
      <c r="A638" s="908"/>
      <c r="B638" s="908"/>
      <c r="C638" s="908"/>
      <c r="D638" s="908"/>
      <c r="E638" s="908"/>
      <c r="F638" s="908"/>
      <c r="G638" s="908"/>
      <c r="H638" s="908"/>
      <c r="I638" s="908"/>
      <c r="J638" s="1016"/>
      <c r="K638" s="900"/>
      <c r="L638" s="900"/>
    </row>
    <row r="639" spans="1:12" ht="15.75" customHeight="1">
      <c r="A639" s="908"/>
      <c r="B639" s="908"/>
      <c r="C639" s="908"/>
      <c r="D639" s="908"/>
      <c r="E639" s="908"/>
      <c r="F639" s="908"/>
      <c r="G639" s="908"/>
      <c r="H639" s="908"/>
      <c r="I639" s="908"/>
      <c r="J639" s="1016"/>
      <c r="K639" s="900"/>
      <c r="L639" s="900"/>
    </row>
    <row r="640" spans="1:12" ht="15.75" customHeight="1">
      <c r="A640" s="908"/>
      <c r="B640" s="908"/>
      <c r="C640" s="908"/>
      <c r="D640" s="908"/>
      <c r="E640" s="908"/>
      <c r="F640" s="908"/>
      <c r="G640" s="908"/>
      <c r="H640" s="908"/>
      <c r="I640" s="908"/>
      <c r="J640" s="1016"/>
      <c r="K640" s="900"/>
      <c r="L640" s="900"/>
    </row>
    <row r="641" spans="1:12" ht="15.75" customHeight="1">
      <c r="A641" s="908"/>
      <c r="B641" s="908"/>
      <c r="C641" s="908"/>
      <c r="D641" s="908"/>
      <c r="E641" s="908"/>
      <c r="F641" s="908"/>
      <c r="G641" s="908"/>
      <c r="H641" s="908"/>
      <c r="I641" s="908"/>
      <c r="J641" s="1016"/>
      <c r="K641" s="900"/>
      <c r="L641" s="900"/>
    </row>
    <row r="642" spans="1:12" ht="15.75" customHeight="1">
      <c r="A642" s="908"/>
      <c r="B642" s="908"/>
      <c r="C642" s="908"/>
      <c r="D642" s="908"/>
      <c r="E642" s="908"/>
      <c r="F642" s="908"/>
      <c r="G642" s="908"/>
      <c r="H642" s="908"/>
      <c r="I642" s="908"/>
      <c r="J642" s="1016"/>
      <c r="K642" s="900"/>
      <c r="L642" s="900"/>
    </row>
    <row r="643" spans="1:12" ht="15.75" customHeight="1">
      <c r="A643" s="908"/>
      <c r="B643" s="908"/>
      <c r="C643" s="908"/>
      <c r="D643" s="908"/>
      <c r="E643" s="908"/>
      <c r="F643" s="908"/>
      <c r="G643" s="908"/>
      <c r="H643" s="908"/>
      <c r="I643" s="908"/>
      <c r="J643" s="1016"/>
      <c r="K643" s="900"/>
      <c r="L643" s="900"/>
    </row>
    <row r="644" spans="1:12" ht="15.75" customHeight="1">
      <c r="A644" s="908"/>
      <c r="B644" s="908"/>
      <c r="C644" s="908"/>
      <c r="D644" s="908"/>
      <c r="E644" s="908"/>
      <c r="F644" s="908"/>
      <c r="G644" s="908"/>
      <c r="H644" s="908"/>
      <c r="I644" s="908"/>
      <c r="J644" s="1016"/>
      <c r="K644" s="900"/>
      <c r="L644" s="900"/>
    </row>
    <row r="645" spans="1:12" ht="15.75" customHeight="1">
      <c r="A645" s="908"/>
      <c r="B645" s="908"/>
      <c r="C645" s="908"/>
      <c r="D645" s="908"/>
      <c r="E645" s="908"/>
      <c r="F645" s="908"/>
      <c r="G645" s="908"/>
      <c r="H645" s="908"/>
      <c r="I645" s="908"/>
      <c r="J645" s="1016"/>
      <c r="K645" s="900"/>
      <c r="L645" s="900"/>
    </row>
    <row r="646" spans="1:12" ht="15.75" customHeight="1">
      <c r="A646" s="908"/>
      <c r="B646" s="908"/>
      <c r="C646" s="908"/>
      <c r="D646" s="908"/>
      <c r="E646" s="908"/>
      <c r="F646" s="908"/>
      <c r="G646" s="908"/>
      <c r="H646" s="908"/>
      <c r="I646" s="908"/>
      <c r="J646" s="1016"/>
      <c r="K646" s="900"/>
      <c r="L646" s="900"/>
    </row>
    <row r="647" spans="1:12" ht="15.75" customHeight="1">
      <c r="A647" s="908"/>
      <c r="B647" s="908"/>
      <c r="C647" s="908"/>
      <c r="D647" s="908"/>
      <c r="E647" s="908"/>
      <c r="F647" s="908"/>
      <c r="G647" s="908"/>
      <c r="H647" s="908"/>
      <c r="I647" s="908"/>
      <c r="J647" s="1016"/>
      <c r="K647" s="900"/>
      <c r="L647" s="900"/>
    </row>
    <row r="648" spans="1:12" ht="15.75" customHeight="1">
      <c r="A648" s="908"/>
      <c r="B648" s="908"/>
      <c r="C648" s="908"/>
      <c r="D648" s="908"/>
      <c r="E648" s="908"/>
      <c r="F648" s="908"/>
      <c r="G648" s="908"/>
      <c r="H648" s="908"/>
      <c r="I648" s="908"/>
      <c r="J648" s="1016"/>
      <c r="K648" s="900"/>
      <c r="L648" s="900"/>
    </row>
    <row r="649" spans="1:12" ht="15.75" customHeight="1">
      <c r="A649" s="908"/>
      <c r="B649" s="908"/>
      <c r="C649" s="908"/>
      <c r="D649" s="908"/>
      <c r="E649" s="908"/>
      <c r="F649" s="908"/>
      <c r="G649" s="908"/>
      <c r="H649" s="908"/>
      <c r="I649" s="908"/>
      <c r="J649" s="1016"/>
      <c r="K649" s="900"/>
      <c r="L649" s="900"/>
    </row>
    <row r="650" spans="1:12" ht="15.75" customHeight="1">
      <c r="A650" s="908"/>
      <c r="B650" s="908"/>
      <c r="C650" s="908"/>
      <c r="D650" s="908"/>
      <c r="E650" s="908"/>
      <c r="F650" s="908"/>
      <c r="G650" s="908"/>
      <c r="H650" s="908"/>
      <c r="I650" s="908"/>
      <c r="J650" s="1016"/>
      <c r="K650" s="900"/>
      <c r="L650" s="900"/>
    </row>
    <row r="651" spans="1:12" ht="15.75" customHeight="1">
      <c r="A651" s="908"/>
      <c r="B651" s="908"/>
      <c r="C651" s="908"/>
      <c r="D651" s="908"/>
      <c r="E651" s="908"/>
      <c r="F651" s="908"/>
      <c r="G651" s="908"/>
      <c r="H651" s="908"/>
      <c r="I651" s="908"/>
      <c r="J651" s="1016"/>
      <c r="K651" s="900"/>
      <c r="L651" s="900"/>
    </row>
    <row r="652" spans="1:12" ht="15.75" customHeight="1">
      <c r="A652" s="908"/>
      <c r="B652" s="908"/>
      <c r="C652" s="908"/>
      <c r="D652" s="908"/>
      <c r="E652" s="908"/>
      <c r="F652" s="908"/>
      <c r="G652" s="908"/>
      <c r="H652" s="908"/>
      <c r="I652" s="908"/>
      <c r="J652" s="1016"/>
      <c r="K652" s="900"/>
      <c r="L652" s="900"/>
    </row>
    <row r="653" spans="1:12" ht="15.75" customHeight="1">
      <c r="A653" s="908"/>
      <c r="B653" s="908"/>
      <c r="C653" s="908"/>
      <c r="D653" s="908"/>
      <c r="E653" s="908"/>
      <c r="F653" s="908"/>
      <c r="G653" s="908"/>
      <c r="H653" s="908"/>
      <c r="I653" s="908"/>
      <c r="J653" s="1016"/>
      <c r="K653" s="900"/>
      <c r="L653" s="900"/>
    </row>
    <row r="654" spans="1:12" ht="15.75" customHeight="1">
      <c r="A654" s="908"/>
      <c r="B654" s="908"/>
      <c r="C654" s="908"/>
      <c r="D654" s="908"/>
      <c r="E654" s="908"/>
      <c r="F654" s="908"/>
      <c r="G654" s="908"/>
      <c r="H654" s="908"/>
      <c r="I654" s="908"/>
      <c r="J654" s="1016"/>
      <c r="K654" s="900"/>
      <c r="L654" s="900"/>
    </row>
    <row r="655" spans="1:12" ht="15.75" customHeight="1">
      <c r="A655" s="908"/>
      <c r="B655" s="908"/>
      <c r="C655" s="908"/>
      <c r="D655" s="908"/>
      <c r="E655" s="908"/>
      <c r="F655" s="908"/>
      <c r="G655" s="908"/>
      <c r="H655" s="908"/>
      <c r="I655" s="908"/>
      <c r="J655" s="1016"/>
      <c r="K655" s="900"/>
      <c r="L655" s="900"/>
    </row>
    <row r="656" spans="1:12" ht="15.75" customHeight="1">
      <c r="A656" s="908"/>
      <c r="B656" s="908"/>
      <c r="C656" s="908"/>
      <c r="D656" s="908"/>
      <c r="E656" s="908"/>
      <c r="F656" s="908"/>
      <c r="G656" s="908"/>
      <c r="H656" s="908"/>
      <c r="I656" s="908"/>
      <c r="J656" s="1016"/>
      <c r="K656" s="900"/>
      <c r="L656" s="900"/>
    </row>
    <row r="657" spans="1:12" ht="15.75" customHeight="1">
      <c r="A657" s="908"/>
      <c r="B657" s="908"/>
      <c r="C657" s="908"/>
      <c r="D657" s="908"/>
      <c r="E657" s="908"/>
      <c r="F657" s="908"/>
      <c r="G657" s="908"/>
      <c r="H657" s="908"/>
      <c r="I657" s="908"/>
      <c r="J657" s="1016"/>
      <c r="K657" s="900"/>
      <c r="L657" s="900"/>
    </row>
    <row r="658" spans="1:12" ht="15.75" customHeight="1">
      <c r="A658" s="908"/>
      <c r="B658" s="908"/>
      <c r="C658" s="908"/>
      <c r="D658" s="908"/>
      <c r="E658" s="908"/>
      <c r="F658" s="908"/>
      <c r="G658" s="908"/>
      <c r="H658" s="908"/>
      <c r="I658" s="908"/>
      <c r="J658" s="1016"/>
      <c r="K658" s="900"/>
      <c r="L658" s="900"/>
    </row>
    <row r="659" spans="1:12" ht="15.75" customHeight="1">
      <c r="A659" s="908"/>
      <c r="B659" s="908"/>
      <c r="C659" s="908"/>
      <c r="D659" s="908"/>
      <c r="E659" s="908"/>
      <c r="F659" s="908"/>
      <c r="G659" s="908"/>
      <c r="H659" s="908"/>
      <c r="I659" s="908"/>
      <c r="J659" s="1016"/>
      <c r="K659" s="900"/>
      <c r="L659" s="900"/>
    </row>
    <row r="660" spans="1:12" ht="15.75" customHeight="1">
      <c r="A660" s="908"/>
      <c r="B660" s="908"/>
      <c r="C660" s="908"/>
      <c r="D660" s="908"/>
      <c r="E660" s="908"/>
      <c r="F660" s="908"/>
      <c r="G660" s="908"/>
      <c r="H660" s="908"/>
      <c r="I660" s="908"/>
      <c r="J660" s="1016"/>
      <c r="K660" s="900"/>
      <c r="L660" s="900"/>
    </row>
    <row r="661" spans="1:12" ht="15.75" customHeight="1">
      <c r="A661" s="908"/>
      <c r="B661" s="908"/>
      <c r="C661" s="908"/>
      <c r="D661" s="908"/>
      <c r="E661" s="908"/>
      <c r="F661" s="908"/>
      <c r="G661" s="908"/>
      <c r="H661" s="908"/>
      <c r="I661" s="908"/>
      <c r="J661" s="1016"/>
      <c r="K661" s="900"/>
      <c r="L661" s="900"/>
    </row>
    <row r="662" spans="1:12" ht="15.75" customHeight="1">
      <c r="A662" s="908"/>
      <c r="B662" s="908"/>
      <c r="C662" s="908"/>
      <c r="D662" s="908"/>
      <c r="E662" s="908"/>
      <c r="F662" s="908"/>
      <c r="G662" s="908"/>
      <c r="H662" s="908"/>
      <c r="I662" s="908"/>
      <c r="J662" s="1016"/>
      <c r="K662" s="900"/>
      <c r="L662" s="900"/>
    </row>
    <row r="663" spans="1:12" ht="15.75" customHeight="1">
      <c r="A663" s="908"/>
      <c r="B663" s="908"/>
      <c r="C663" s="908"/>
      <c r="D663" s="908"/>
      <c r="E663" s="908"/>
      <c r="F663" s="908"/>
      <c r="G663" s="908"/>
      <c r="H663" s="908"/>
      <c r="I663" s="908"/>
      <c r="J663" s="1016"/>
      <c r="K663" s="900"/>
      <c r="L663" s="900"/>
    </row>
    <row r="664" spans="1:12" ht="15.75" customHeight="1">
      <c r="A664" s="908"/>
      <c r="B664" s="908"/>
      <c r="C664" s="908"/>
      <c r="D664" s="908"/>
      <c r="E664" s="908"/>
      <c r="F664" s="908"/>
      <c r="G664" s="908"/>
      <c r="H664" s="908"/>
      <c r="I664" s="908"/>
      <c r="J664" s="1016"/>
      <c r="K664" s="900"/>
      <c r="L664" s="900"/>
    </row>
    <row r="665" spans="1:12" ht="15.75" customHeight="1">
      <c r="A665" s="908"/>
      <c r="B665" s="908"/>
      <c r="C665" s="908"/>
      <c r="D665" s="908"/>
      <c r="E665" s="908"/>
      <c r="F665" s="908"/>
      <c r="G665" s="908"/>
      <c r="H665" s="908"/>
      <c r="I665" s="908"/>
      <c r="J665" s="1016"/>
      <c r="K665" s="900"/>
      <c r="L665" s="900"/>
    </row>
    <row r="666" spans="1:12" ht="15.75" customHeight="1">
      <c r="A666" s="908"/>
      <c r="B666" s="908"/>
      <c r="C666" s="908"/>
      <c r="D666" s="908"/>
      <c r="E666" s="908"/>
      <c r="F666" s="908"/>
      <c r="G666" s="908"/>
      <c r="H666" s="908"/>
      <c r="I666" s="908"/>
      <c r="J666" s="1016"/>
      <c r="K666" s="900"/>
      <c r="L666" s="900"/>
    </row>
    <row r="667" spans="1:12" ht="15.75" customHeight="1">
      <c r="A667" s="908"/>
      <c r="B667" s="908"/>
      <c r="C667" s="908"/>
      <c r="D667" s="908"/>
      <c r="E667" s="908"/>
      <c r="F667" s="908"/>
      <c r="G667" s="908"/>
      <c r="H667" s="908"/>
      <c r="I667" s="908"/>
      <c r="J667" s="1016"/>
      <c r="K667" s="900"/>
      <c r="L667" s="900"/>
    </row>
    <row r="668" spans="1:12" ht="15.75" customHeight="1">
      <c r="A668" s="908"/>
      <c r="B668" s="908"/>
      <c r="C668" s="908"/>
      <c r="D668" s="908"/>
      <c r="E668" s="908"/>
      <c r="F668" s="908"/>
      <c r="G668" s="908"/>
      <c r="H668" s="908"/>
      <c r="I668" s="908"/>
      <c r="J668" s="1016"/>
      <c r="K668" s="900"/>
      <c r="L668" s="900"/>
    </row>
    <row r="669" spans="1:12" ht="15.75" customHeight="1">
      <c r="A669" s="908"/>
      <c r="B669" s="908"/>
      <c r="C669" s="908"/>
      <c r="D669" s="908"/>
      <c r="E669" s="908"/>
      <c r="F669" s="908"/>
      <c r="G669" s="908"/>
      <c r="H669" s="908"/>
      <c r="I669" s="908"/>
      <c r="J669" s="1016"/>
      <c r="K669" s="900"/>
      <c r="L669" s="900"/>
    </row>
    <row r="670" spans="1:12" ht="15.75" customHeight="1">
      <c r="A670" s="908"/>
      <c r="B670" s="908"/>
      <c r="C670" s="908"/>
      <c r="D670" s="908"/>
      <c r="E670" s="908"/>
      <c r="F670" s="908"/>
      <c r="G670" s="908"/>
      <c r="H670" s="908"/>
      <c r="I670" s="908"/>
      <c r="J670" s="1016"/>
      <c r="K670" s="900"/>
      <c r="L670" s="900"/>
    </row>
    <row r="671" spans="1:12" ht="15.75" customHeight="1">
      <c r="A671" s="908"/>
      <c r="B671" s="908"/>
      <c r="C671" s="908"/>
      <c r="D671" s="908"/>
      <c r="E671" s="908"/>
      <c r="F671" s="908"/>
      <c r="G671" s="908"/>
      <c r="H671" s="908"/>
      <c r="I671" s="908"/>
      <c r="J671" s="1016"/>
      <c r="K671" s="900"/>
      <c r="L671" s="900"/>
    </row>
    <row r="672" spans="1:12" ht="15.75" customHeight="1">
      <c r="A672" s="908"/>
      <c r="B672" s="908"/>
      <c r="C672" s="908"/>
      <c r="D672" s="908"/>
      <c r="E672" s="908"/>
      <c r="F672" s="908"/>
      <c r="G672" s="908"/>
      <c r="H672" s="908"/>
      <c r="I672" s="908"/>
      <c r="J672" s="1016"/>
      <c r="K672" s="900"/>
      <c r="L672" s="900"/>
    </row>
    <row r="673" spans="1:12" ht="15.75" customHeight="1">
      <c r="A673" s="908"/>
      <c r="B673" s="908"/>
      <c r="C673" s="908"/>
      <c r="D673" s="908"/>
      <c r="E673" s="908"/>
      <c r="F673" s="908"/>
      <c r="G673" s="908"/>
      <c r="H673" s="908"/>
      <c r="I673" s="908"/>
      <c r="J673" s="1016"/>
      <c r="K673" s="900"/>
      <c r="L673" s="900"/>
    </row>
    <row r="674" spans="1:12" ht="15.75" customHeight="1">
      <c r="A674" s="908"/>
      <c r="B674" s="908"/>
      <c r="C674" s="908"/>
      <c r="D674" s="908"/>
      <c r="E674" s="908"/>
      <c r="F674" s="908"/>
      <c r="G674" s="908"/>
      <c r="H674" s="908"/>
      <c r="I674" s="908"/>
      <c r="J674" s="1016"/>
      <c r="K674" s="900"/>
      <c r="L674" s="900"/>
    </row>
    <row r="675" spans="1:12" ht="15.75" customHeight="1">
      <c r="A675" s="908"/>
      <c r="B675" s="908"/>
      <c r="C675" s="908"/>
      <c r="D675" s="908"/>
      <c r="E675" s="908"/>
      <c r="F675" s="908"/>
      <c r="G675" s="908"/>
      <c r="H675" s="908"/>
      <c r="I675" s="908"/>
      <c r="J675" s="1016"/>
      <c r="K675" s="900"/>
      <c r="L675" s="900"/>
    </row>
    <row r="676" spans="1:12" ht="15.75" customHeight="1">
      <c r="A676" s="908"/>
      <c r="B676" s="908"/>
      <c r="C676" s="908"/>
      <c r="D676" s="908"/>
      <c r="E676" s="908"/>
      <c r="F676" s="908"/>
      <c r="G676" s="908"/>
      <c r="H676" s="908"/>
      <c r="I676" s="908"/>
      <c r="J676" s="1016"/>
      <c r="K676" s="900"/>
      <c r="L676" s="900"/>
    </row>
    <row r="677" spans="1:12" ht="15.75" customHeight="1">
      <c r="A677" s="908"/>
      <c r="B677" s="908"/>
      <c r="C677" s="908"/>
      <c r="D677" s="908"/>
      <c r="E677" s="908"/>
      <c r="F677" s="908"/>
      <c r="G677" s="908"/>
      <c r="H677" s="908"/>
      <c r="I677" s="908"/>
      <c r="J677" s="1016"/>
      <c r="K677" s="900"/>
      <c r="L677" s="900"/>
    </row>
    <row r="678" spans="1:12" ht="15.75" customHeight="1">
      <c r="A678" s="908"/>
      <c r="B678" s="908"/>
      <c r="C678" s="908"/>
      <c r="D678" s="908"/>
      <c r="E678" s="908"/>
      <c r="F678" s="908"/>
      <c r="G678" s="908"/>
      <c r="H678" s="908"/>
      <c r="I678" s="908"/>
      <c r="J678" s="1016"/>
      <c r="K678" s="900"/>
      <c r="L678" s="900"/>
    </row>
    <row r="679" spans="1:12" ht="15.75" customHeight="1">
      <c r="A679" s="908"/>
      <c r="B679" s="908"/>
      <c r="C679" s="908"/>
      <c r="D679" s="908"/>
      <c r="E679" s="908"/>
      <c r="F679" s="908"/>
      <c r="G679" s="908"/>
      <c r="H679" s="908"/>
      <c r="I679" s="908"/>
      <c r="J679" s="1016"/>
      <c r="K679" s="900"/>
      <c r="L679" s="900"/>
    </row>
    <row r="680" spans="1:12" ht="15.75" customHeight="1">
      <c r="A680" s="908"/>
      <c r="B680" s="908"/>
      <c r="C680" s="908"/>
      <c r="D680" s="908"/>
      <c r="E680" s="908"/>
      <c r="F680" s="908"/>
      <c r="G680" s="908"/>
      <c r="H680" s="908"/>
      <c r="I680" s="908"/>
      <c r="J680" s="1016"/>
      <c r="K680" s="900"/>
      <c r="L680" s="900"/>
    </row>
    <row r="681" spans="1:12" ht="15.75" customHeight="1">
      <c r="A681" s="908"/>
      <c r="B681" s="908"/>
      <c r="C681" s="908"/>
      <c r="D681" s="908"/>
      <c r="E681" s="908"/>
      <c r="F681" s="908"/>
      <c r="G681" s="908"/>
      <c r="H681" s="908"/>
      <c r="I681" s="908"/>
      <c r="J681" s="1016"/>
      <c r="K681" s="900"/>
      <c r="L681" s="900"/>
    </row>
    <row r="682" spans="1:12" ht="15.75" customHeight="1">
      <c r="A682" s="908"/>
      <c r="B682" s="908"/>
      <c r="C682" s="908"/>
      <c r="D682" s="908"/>
      <c r="E682" s="908"/>
      <c r="F682" s="908"/>
      <c r="G682" s="908"/>
      <c r="H682" s="908"/>
      <c r="I682" s="908"/>
      <c r="J682" s="1016"/>
      <c r="K682" s="900"/>
      <c r="L682" s="900"/>
    </row>
    <row r="683" spans="1:12" ht="15.75" customHeight="1">
      <c r="A683" s="908"/>
      <c r="B683" s="908"/>
      <c r="C683" s="908"/>
      <c r="D683" s="908"/>
      <c r="E683" s="908"/>
      <c r="F683" s="908"/>
      <c r="G683" s="908"/>
      <c r="H683" s="908"/>
      <c r="I683" s="908"/>
      <c r="J683" s="1016"/>
      <c r="K683" s="900"/>
      <c r="L683" s="900"/>
    </row>
    <row r="684" spans="1:12" ht="15.75" customHeight="1">
      <c r="A684" s="908"/>
      <c r="B684" s="908"/>
      <c r="C684" s="908"/>
      <c r="D684" s="908"/>
      <c r="E684" s="908"/>
      <c r="F684" s="908"/>
      <c r="G684" s="908"/>
      <c r="H684" s="908"/>
      <c r="I684" s="908"/>
      <c r="J684" s="1016"/>
      <c r="K684" s="900"/>
      <c r="L684" s="900"/>
    </row>
    <row r="685" spans="1:12" ht="15.75" customHeight="1">
      <c r="A685" s="908"/>
      <c r="B685" s="908"/>
      <c r="C685" s="908"/>
      <c r="D685" s="908"/>
      <c r="E685" s="908"/>
      <c r="F685" s="908"/>
      <c r="G685" s="908"/>
      <c r="H685" s="908"/>
      <c r="I685" s="908"/>
      <c r="J685" s="1016"/>
      <c r="K685" s="900"/>
      <c r="L685" s="900"/>
    </row>
    <row r="686" spans="1:12" ht="15.75" customHeight="1">
      <c r="A686" s="908"/>
      <c r="B686" s="908"/>
      <c r="C686" s="908"/>
      <c r="D686" s="908"/>
      <c r="E686" s="908"/>
      <c r="F686" s="908"/>
      <c r="G686" s="908"/>
      <c r="H686" s="908"/>
      <c r="I686" s="908"/>
      <c r="J686" s="1016"/>
      <c r="K686" s="900"/>
      <c r="L686" s="900"/>
    </row>
    <row r="687" spans="1:12" ht="15.75" customHeight="1">
      <c r="A687" s="908"/>
      <c r="B687" s="908"/>
      <c r="C687" s="908"/>
      <c r="D687" s="908"/>
      <c r="E687" s="908"/>
      <c r="F687" s="908"/>
      <c r="G687" s="908"/>
      <c r="H687" s="908"/>
      <c r="I687" s="908"/>
      <c r="J687" s="1016"/>
      <c r="K687" s="900"/>
      <c r="L687" s="900"/>
    </row>
    <row r="688" spans="1:12" ht="15.75" customHeight="1">
      <c r="A688" s="908"/>
      <c r="B688" s="908"/>
      <c r="C688" s="908"/>
      <c r="D688" s="908"/>
      <c r="E688" s="908"/>
      <c r="F688" s="908"/>
      <c r="G688" s="908"/>
      <c r="H688" s="908"/>
      <c r="I688" s="908"/>
      <c r="J688" s="1016"/>
      <c r="K688" s="900"/>
      <c r="L688" s="900"/>
    </row>
    <row r="689" spans="1:12" ht="15.75" customHeight="1">
      <c r="A689" s="908"/>
      <c r="B689" s="908"/>
      <c r="C689" s="908"/>
      <c r="D689" s="908"/>
      <c r="E689" s="908"/>
      <c r="F689" s="908"/>
      <c r="G689" s="908"/>
      <c r="H689" s="908"/>
      <c r="I689" s="908"/>
      <c r="J689" s="1016"/>
      <c r="K689" s="900"/>
      <c r="L689" s="900"/>
    </row>
    <row r="690" spans="1:12" ht="15.75" customHeight="1">
      <c r="A690" s="908"/>
      <c r="B690" s="908"/>
      <c r="C690" s="908"/>
      <c r="D690" s="908"/>
      <c r="E690" s="908"/>
      <c r="F690" s="908"/>
      <c r="G690" s="908"/>
      <c r="H690" s="908"/>
      <c r="I690" s="908"/>
      <c r="J690" s="1016"/>
      <c r="K690" s="900"/>
      <c r="L690" s="900"/>
    </row>
    <row r="691" spans="1:12" ht="15.75" customHeight="1">
      <c r="A691" s="908"/>
      <c r="B691" s="908"/>
      <c r="C691" s="908"/>
      <c r="D691" s="908"/>
      <c r="E691" s="908"/>
      <c r="F691" s="908"/>
      <c r="G691" s="908"/>
      <c r="H691" s="908"/>
      <c r="I691" s="908"/>
      <c r="J691" s="1016"/>
      <c r="K691" s="900"/>
      <c r="L691" s="900"/>
    </row>
    <row r="692" spans="1:12" ht="15.75" customHeight="1">
      <c r="A692" s="908"/>
      <c r="B692" s="908"/>
      <c r="C692" s="908"/>
      <c r="D692" s="908"/>
      <c r="E692" s="908"/>
      <c r="F692" s="908"/>
      <c r="G692" s="908"/>
      <c r="H692" s="908"/>
      <c r="I692" s="908"/>
      <c r="J692" s="1016"/>
      <c r="K692" s="900"/>
      <c r="L692" s="900"/>
    </row>
    <row r="693" spans="1:12" ht="15.75" customHeight="1">
      <c r="A693" s="908"/>
      <c r="B693" s="908"/>
      <c r="C693" s="908"/>
      <c r="D693" s="908"/>
      <c r="E693" s="908"/>
      <c r="F693" s="908"/>
      <c r="G693" s="908"/>
      <c r="H693" s="908"/>
      <c r="I693" s="908"/>
      <c r="J693" s="1016"/>
      <c r="K693" s="900"/>
      <c r="L693" s="900"/>
    </row>
    <row r="694" spans="1:12" ht="15.75" customHeight="1">
      <c r="A694" s="908"/>
      <c r="B694" s="908"/>
      <c r="C694" s="908"/>
      <c r="D694" s="908"/>
      <c r="E694" s="908"/>
      <c r="F694" s="908"/>
      <c r="G694" s="908"/>
      <c r="H694" s="908"/>
      <c r="I694" s="908"/>
      <c r="J694" s="1016"/>
      <c r="K694" s="900"/>
      <c r="L694" s="900"/>
    </row>
    <row r="695" spans="1:12" ht="15.75" customHeight="1">
      <c r="A695" s="908"/>
      <c r="B695" s="908"/>
      <c r="C695" s="908"/>
      <c r="D695" s="908"/>
      <c r="E695" s="908"/>
      <c r="F695" s="908"/>
      <c r="G695" s="908"/>
      <c r="H695" s="908"/>
      <c r="I695" s="908"/>
      <c r="J695" s="1016"/>
      <c r="K695" s="900"/>
      <c r="L695" s="900"/>
    </row>
    <row r="696" spans="1:12" ht="15.75" customHeight="1">
      <c r="A696" s="908"/>
      <c r="B696" s="908"/>
      <c r="C696" s="908"/>
      <c r="D696" s="908"/>
      <c r="E696" s="908"/>
      <c r="F696" s="908"/>
      <c r="G696" s="908"/>
      <c r="H696" s="908"/>
      <c r="I696" s="908"/>
      <c r="J696" s="1016"/>
      <c r="K696" s="900"/>
      <c r="L696" s="900"/>
    </row>
    <row r="697" spans="1:12" ht="15.75" customHeight="1">
      <c r="A697" s="908"/>
      <c r="B697" s="908"/>
      <c r="C697" s="908"/>
      <c r="D697" s="908"/>
      <c r="E697" s="908"/>
      <c r="F697" s="908"/>
      <c r="G697" s="908"/>
      <c r="H697" s="908"/>
      <c r="I697" s="908"/>
      <c r="J697" s="1016"/>
      <c r="K697" s="900"/>
      <c r="L697" s="900"/>
    </row>
    <row r="698" spans="1:12" ht="15.75" customHeight="1">
      <c r="A698" s="908"/>
      <c r="B698" s="908"/>
      <c r="C698" s="908"/>
      <c r="D698" s="908"/>
      <c r="E698" s="908"/>
      <c r="F698" s="908"/>
      <c r="G698" s="908"/>
      <c r="H698" s="908"/>
      <c r="I698" s="908"/>
      <c r="J698" s="1016"/>
      <c r="K698" s="900"/>
      <c r="L698" s="900"/>
    </row>
    <row r="699" spans="1:12" ht="15.75" customHeight="1">
      <c r="A699" s="908"/>
      <c r="B699" s="908"/>
      <c r="C699" s="908"/>
      <c r="D699" s="908"/>
      <c r="E699" s="908"/>
      <c r="F699" s="908"/>
      <c r="G699" s="908"/>
      <c r="H699" s="908"/>
      <c r="I699" s="908"/>
      <c r="J699" s="1016"/>
      <c r="K699" s="900"/>
      <c r="L699" s="900"/>
    </row>
    <row r="700" spans="1:12" ht="15.75" customHeight="1">
      <c r="A700" s="908"/>
      <c r="B700" s="908"/>
      <c r="C700" s="908"/>
      <c r="D700" s="908"/>
      <c r="E700" s="908"/>
      <c r="F700" s="908"/>
      <c r="G700" s="908"/>
      <c r="H700" s="908"/>
      <c r="I700" s="908"/>
      <c r="J700" s="1016"/>
      <c r="K700" s="900"/>
      <c r="L700" s="900"/>
    </row>
    <row r="701" spans="1:12" ht="15.75" customHeight="1">
      <c r="A701" s="908"/>
      <c r="B701" s="908"/>
      <c r="C701" s="908"/>
      <c r="D701" s="908"/>
      <c r="E701" s="908"/>
      <c r="F701" s="908"/>
      <c r="G701" s="908"/>
      <c r="H701" s="908"/>
      <c r="I701" s="908"/>
      <c r="J701" s="1016"/>
      <c r="K701" s="900"/>
      <c r="L701" s="900"/>
    </row>
    <row r="702" spans="1:12" ht="15.75" customHeight="1">
      <c r="A702" s="908"/>
      <c r="B702" s="908"/>
      <c r="C702" s="908"/>
      <c r="D702" s="908"/>
      <c r="E702" s="908"/>
      <c r="F702" s="908"/>
      <c r="G702" s="908"/>
      <c r="H702" s="908"/>
      <c r="I702" s="908"/>
      <c r="J702" s="1016"/>
      <c r="K702" s="900"/>
      <c r="L702" s="900"/>
    </row>
    <row r="703" spans="1:12" ht="15.75" customHeight="1">
      <c r="A703" s="908"/>
      <c r="B703" s="908"/>
      <c r="C703" s="908"/>
      <c r="D703" s="908"/>
      <c r="E703" s="908"/>
      <c r="F703" s="908"/>
      <c r="G703" s="908"/>
      <c r="H703" s="908"/>
      <c r="I703" s="908"/>
      <c r="J703" s="1016"/>
      <c r="K703" s="900"/>
      <c r="L703" s="900"/>
    </row>
    <row r="704" spans="1:12" ht="15.75" customHeight="1">
      <c r="A704" s="908"/>
      <c r="B704" s="908"/>
      <c r="C704" s="908"/>
      <c r="D704" s="908"/>
      <c r="E704" s="908"/>
      <c r="F704" s="908"/>
      <c r="G704" s="908"/>
      <c r="H704" s="908"/>
      <c r="I704" s="908"/>
      <c r="J704" s="1016"/>
      <c r="K704" s="900"/>
      <c r="L704" s="900"/>
    </row>
    <row r="705" spans="1:12" ht="15.75" customHeight="1">
      <c r="A705" s="908"/>
      <c r="B705" s="908"/>
      <c r="C705" s="908"/>
      <c r="D705" s="908"/>
      <c r="E705" s="908"/>
      <c r="F705" s="908"/>
      <c r="G705" s="908"/>
      <c r="H705" s="908"/>
      <c r="I705" s="908"/>
      <c r="J705" s="1016"/>
      <c r="K705" s="900"/>
      <c r="L705" s="900"/>
    </row>
    <row r="706" spans="1:12" ht="15.75" customHeight="1">
      <c r="A706" s="908"/>
      <c r="B706" s="908"/>
      <c r="C706" s="908"/>
      <c r="D706" s="908"/>
      <c r="E706" s="908"/>
      <c r="F706" s="908"/>
      <c r="G706" s="908"/>
      <c r="H706" s="908"/>
      <c r="I706" s="908"/>
      <c r="J706" s="1016"/>
      <c r="K706" s="900"/>
      <c r="L706" s="900"/>
    </row>
    <row r="707" spans="1:12" ht="15.75" customHeight="1">
      <c r="A707" s="908"/>
      <c r="B707" s="908"/>
      <c r="C707" s="908"/>
      <c r="D707" s="908"/>
      <c r="E707" s="908"/>
      <c r="F707" s="908"/>
      <c r="G707" s="908"/>
      <c r="H707" s="908"/>
      <c r="I707" s="908"/>
      <c r="J707" s="1016"/>
      <c r="K707" s="900"/>
      <c r="L707" s="900"/>
    </row>
    <row r="708" spans="1:12" ht="15.75" customHeight="1">
      <c r="A708" s="908"/>
      <c r="B708" s="908"/>
      <c r="C708" s="908"/>
      <c r="D708" s="908"/>
      <c r="E708" s="908"/>
      <c r="F708" s="908"/>
      <c r="G708" s="908"/>
      <c r="H708" s="908"/>
      <c r="I708" s="908"/>
      <c r="J708" s="1016"/>
      <c r="K708" s="900"/>
      <c r="L708" s="900"/>
    </row>
    <row r="709" spans="1:12" ht="15.75" customHeight="1">
      <c r="A709" s="908"/>
      <c r="B709" s="908"/>
      <c r="C709" s="908"/>
      <c r="D709" s="908"/>
      <c r="E709" s="908"/>
      <c r="F709" s="908"/>
      <c r="G709" s="908"/>
      <c r="H709" s="908"/>
      <c r="I709" s="908"/>
      <c r="J709" s="1016"/>
      <c r="K709" s="900"/>
      <c r="L709" s="900"/>
    </row>
    <row r="710" spans="1:12" ht="15.75" customHeight="1">
      <c r="A710" s="908"/>
      <c r="B710" s="908"/>
      <c r="C710" s="908"/>
      <c r="D710" s="908"/>
      <c r="E710" s="908"/>
      <c r="F710" s="908"/>
      <c r="G710" s="908"/>
      <c r="H710" s="908"/>
      <c r="I710" s="908"/>
      <c r="J710" s="1016"/>
      <c r="K710" s="900"/>
      <c r="L710" s="900"/>
    </row>
    <row r="711" spans="1:12" ht="15.75" customHeight="1">
      <c r="A711" s="908"/>
      <c r="B711" s="908"/>
      <c r="C711" s="908"/>
      <c r="D711" s="908"/>
      <c r="E711" s="908"/>
      <c r="F711" s="908"/>
      <c r="G711" s="908"/>
      <c r="H711" s="908"/>
      <c r="I711" s="908"/>
      <c r="J711" s="1016"/>
      <c r="K711" s="900"/>
      <c r="L711" s="900"/>
    </row>
    <row r="712" spans="1:12" ht="15.75" customHeight="1">
      <c r="A712" s="908"/>
      <c r="B712" s="908"/>
      <c r="C712" s="908"/>
      <c r="D712" s="908"/>
      <c r="E712" s="908"/>
      <c r="F712" s="908"/>
      <c r="G712" s="908"/>
      <c r="H712" s="908"/>
      <c r="I712" s="908"/>
      <c r="J712" s="1016"/>
      <c r="K712" s="900"/>
      <c r="L712" s="900"/>
    </row>
    <row r="713" spans="1:12" ht="15.75" customHeight="1">
      <c r="A713" s="908"/>
      <c r="B713" s="908"/>
      <c r="C713" s="908"/>
      <c r="D713" s="908"/>
      <c r="E713" s="908"/>
      <c r="F713" s="908"/>
      <c r="G713" s="908"/>
      <c r="H713" s="908"/>
      <c r="I713" s="908"/>
      <c r="J713" s="1016"/>
      <c r="K713" s="900"/>
      <c r="L713" s="900"/>
    </row>
    <row r="714" spans="1:12" ht="15.75" customHeight="1">
      <c r="A714" s="908"/>
      <c r="B714" s="908"/>
      <c r="C714" s="908"/>
      <c r="D714" s="908"/>
      <c r="E714" s="908"/>
      <c r="F714" s="908"/>
      <c r="G714" s="908"/>
      <c r="H714" s="908"/>
      <c r="I714" s="908"/>
      <c r="J714" s="1016"/>
      <c r="K714" s="900"/>
      <c r="L714" s="900"/>
    </row>
    <row r="715" spans="1:12" ht="15.75" customHeight="1">
      <c r="A715" s="908"/>
      <c r="B715" s="908"/>
      <c r="C715" s="908"/>
      <c r="D715" s="908"/>
      <c r="E715" s="908"/>
      <c r="F715" s="908"/>
      <c r="G715" s="908"/>
      <c r="H715" s="908"/>
      <c r="I715" s="908"/>
      <c r="J715" s="1016"/>
      <c r="K715" s="900"/>
      <c r="L715" s="900"/>
    </row>
    <row r="716" spans="1:12" ht="15.75" customHeight="1">
      <c r="A716" s="908"/>
      <c r="B716" s="908"/>
      <c r="C716" s="908"/>
      <c r="D716" s="908"/>
      <c r="E716" s="908"/>
      <c r="F716" s="908"/>
      <c r="G716" s="908"/>
      <c r="H716" s="908"/>
      <c r="I716" s="908"/>
      <c r="J716" s="1016"/>
      <c r="K716" s="900"/>
      <c r="L716" s="900"/>
    </row>
    <row r="717" spans="1:12" ht="15.75" customHeight="1">
      <c r="A717" s="908"/>
      <c r="B717" s="908"/>
      <c r="C717" s="908"/>
      <c r="D717" s="908"/>
      <c r="E717" s="908"/>
      <c r="F717" s="908"/>
      <c r="G717" s="908"/>
      <c r="H717" s="908"/>
      <c r="I717" s="908"/>
      <c r="J717" s="1016"/>
      <c r="K717" s="900"/>
      <c r="L717" s="900"/>
    </row>
    <row r="718" spans="1:12" ht="15.75" customHeight="1">
      <c r="A718" s="908"/>
      <c r="B718" s="908"/>
      <c r="C718" s="908"/>
      <c r="D718" s="908"/>
      <c r="E718" s="908"/>
      <c r="F718" s="908"/>
      <c r="G718" s="908"/>
      <c r="H718" s="908"/>
      <c r="I718" s="908"/>
      <c r="J718" s="1016"/>
      <c r="K718" s="900"/>
      <c r="L718" s="900"/>
    </row>
    <row r="719" spans="1:12" ht="15.75" customHeight="1">
      <c r="A719" s="908"/>
      <c r="B719" s="908"/>
      <c r="C719" s="908"/>
      <c r="D719" s="908"/>
      <c r="E719" s="908"/>
      <c r="F719" s="908"/>
      <c r="G719" s="908"/>
      <c r="H719" s="908"/>
      <c r="I719" s="908"/>
      <c r="J719" s="1016"/>
      <c r="K719" s="900"/>
      <c r="L719" s="900"/>
    </row>
    <row r="720" spans="1:12" ht="15.75" customHeight="1">
      <c r="A720" s="908"/>
      <c r="B720" s="908"/>
      <c r="C720" s="908"/>
      <c r="D720" s="908"/>
      <c r="E720" s="908"/>
      <c r="F720" s="908"/>
      <c r="G720" s="908"/>
      <c r="H720" s="908"/>
      <c r="I720" s="908"/>
      <c r="J720" s="1016"/>
      <c r="K720" s="900"/>
      <c r="L720" s="900"/>
    </row>
    <row r="721" spans="1:12" ht="15.75" customHeight="1">
      <c r="A721" s="908"/>
      <c r="B721" s="908"/>
      <c r="C721" s="908"/>
      <c r="D721" s="908"/>
      <c r="E721" s="908"/>
      <c r="F721" s="908"/>
      <c r="G721" s="908"/>
      <c r="H721" s="908"/>
      <c r="I721" s="908"/>
      <c r="J721" s="1016"/>
      <c r="K721" s="900"/>
      <c r="L721" s="900"/>
    </row>
    <row r="722" spans="1:12" ht="15.75" customHeight="1">
      <c r="A722" s="908"/>
      <c r="B722" s="908"/>
      <c r="C722" s="908"/>
      <c r="D722" s="908"/>
      <c r="E722" s="908"/>
      <c r="F722" s="908"/>
      <c r="G722" s="908"/>
      <c r="H722" s="908"/>
      <c r="I722" s="908"/>
      <c r="J722" s="1016"/>
      <c r="K722" s="900"/>
      <c r="L722" s="900"/>
    </row>
    <row r="723" spans="1:12" ht="15.75" customHeight="1">
      <c r="A723" s="908"/>
      <c r="B723" s="908"/>
      <c r="C723" s="908"/>
      <c r="D723" s="908"/>
      <c r="E723" s="908"/>
      <c r="F723" s="908"/>
      <c r="G723" s="908"/>
      <c r="H723" s="908"/>
      <c r="I723" s="908"/>
      <c r="J723" s="1016"/>
      <c r="K723" s="900"/>
      <c r="L723" s="900"/>
    </row>
    <row r="724" spans="1:12" ht="15.75" customHeight="1">
      <c r="A724" s="908"/>
      <c r="B724" s="908"/>
      <c r="C724" s="908"/>
      <c r="D724" s="908"/>
      <c r="E724" s="908"/>
      <c r="F724" s="908"/>
      <c r="G724" s="908"/>
      <c r="H724" s="908"/>
      <c r="I724" s="908"/>
      <c r="J724" s="1016"/>
      <c r="K724" s="900"/>
      <c r="L724" s="900"/>
    </row>
    <row r="725" spans="1:12" ht="15.75" customHeight="1">
      <c r="A725" s="908"/>
      <c r="B725" s="908"/>
      <c r="C725" s="908"/>
      <c r="D725" s="908"/>
      <c r="E725" s="908"/>
      <c r="F725" s="908"/>
      <c r="G725" s="908"/>
      <c r="H725" s="908"/>
      <c r="I725" s="908"/>
      <c r="J725" s="1016"/>
      <c r="K725" s="900"/>
      <c r="L725" s="900"/>
    </row>
    <row r="726" spans="1:12" ht="15.75" customHeight="1">
      <c r="A726" s="908"/>
      <c r="B726" s="908"/>
      <c r="C726" s="908"/>
      <c r="D726" s="908"/>
      <c r="E726" s="908"/>
      <c r="F726" s="908"/>
      <c r="G726" s="908"/>
      <c r="H726" s="908"/>
      <c r="I726" s="908"/>
      <c r="J726" s="1016"/>
      <c r="K726" s="900"/>
      <c r="L726" s="900"/>
    </row>
    <row r="727" spans="1:12" ht="15.75" customHeight="1">
      <c r="A727" s="908"/>
      <c r="B727" s="908"/>
      <c r="C727" s="908"/>
      <c r="D727" s="908"/>
      <c r="E727" s="908"/>
      <c r="F727" s="908"/>
      <c r="G727" s="908"/>
      <c r="H727" s="908"/>
      <c r="I727" s="908"/>
      <c r="J727" s="1016"/>
      <c r="K727" s="900"/>
      <c r="L727" s="900"/>
    </row>
    <row r="728" spans="1:12" ht="15.75" customHeight="1">
      <c r="A728" s="908"/>
      <c r="B728" s="908"/>
      <c r="C728" s="908"/>
      <c r="D728" s="908"/>
      <c r="E728" s="908"/>
      <c r="F728" s="908"/>
      <c r="G728" s="908"/>
      <c r="H728" s="908"/>
      <c r="I728" s="908"/>
      <c r="J728" s="1016"/>
      <c r="K728" s="900"/>
      <c r="L728" s="900"/>
    </row>
    <row r="729" spans="1:12" ht="15.75" customHeight="1">
      <c r="A729" s="908"/>
      <c r="B729" s="908"/>
      <c r="C729" s="908"/>
      <c r="D729" s="908"/>
      <c r="E729" s="908"/>
      <c r="F729" s="908"/>
      <c r="G729" s="908"/>
      <c r="H729" s="908"/>
      <c r="I729" s="908"/>
      <c r="J729" s="1016"/>
      <c r="K729" s="900"/>
      <c r="L729" s="900"/>
    </row>
    <row r="730" spans="1:12" ht="15.75" customHeight="1">
      <c r="A730" s="908"/>
      <c r="B730" s="908"/>
      <c r="C730" s="908"/>
      <c r="D730" s="908"/>
      <c r="E730" s="908"/>
      <c r="F730" s="908"/>
      <c r="G730" s="908"/>
      <c r="H730" s="908"/>
      <c r="I730" s="908"/>
      <c r="J730" s="1016"/>
      <c r="K730" s="900"/>
      <c r="L730" s="900"/>
    </row>
    <row r="731" spans="1:12" ht="15.75" customHeight="1">
      <c r="A731" s="908"/>
      <c r="B731" s="908"/>
      <c r="C731" s="908"/>
      <c r="D731" s="908"/>
      <c r="E731" s="908"/>
      <c r="F731" s="908"/>
      <c r="G731" s="908"/>
      <c r="H731" s="908"/>
      <c r="I731" s="908"/>
      <c r="J731" s="1016"/>
      <c r="K731" s="900"/>
      <c r="L731" s="900"/>
    </row>
    <row r="732" spans="1:12" ht="15.75" customHeight="1">
      <c r="A732" s="908"/>
      <c r="B732" s="908"/>
      <c r="C732" s="908"/>
      <c r="D732" s="908"/>
      <c r="E732" s="908"/>
      <c r="F732" s="908"/>
      <c r="G732" s="908"/>
      <c r="H732" s="908"/>
      <c r="I732" s="908"/>
      <c r="J732" s="1016"/>
      <c r="K732" s="900"/>
      <c r="L732" s="900"/>
    </row>
    <row r="733" spans="1:12" ht="15.75" customHeight="1">
      <c r="A733" s="908"/>
      <c r="B733" s="908"/>
      <c r="C733" s="908"/>
      <c r="D733" s="908"/>
      <c r="E733" s="908"/>
      <c r="F733" s="908"/>
      <c r="G733" s="908"/>
      <c r="H733" s="908"/>
      <c r="I733" s="908"/>
      <c r="J733" s="1016"/>
      <c r="K733" s="900"/>
      <c r="L733" s="900"/>
    </row>
    <row r="734" spans="1:12" ht="15.75" customHeight="1">
      <c r="A734" s="908"/>
      <c r="B734" s="908"/>
      <c r="C734" s="908"/>
      <c r="D734" s="908"/>
      <c r="E734" s="908"/>
      <c r="F734" s="908"/>
      <c r="G734" s="908"/>
      <c r="H734" s="908"/>
      <c r="I734" s="908"/>
      <c r="J734" s="1016"/>
      <c r="K734" s="900"/>
      <c r="L734" s="900"/>
    </row>
    <row r="735" spans="1:12" ht="15.75" customHeight="1">
      <c r="A735" s="908"/>
      <c r="B735" s="908"/>
      <c r="C735" s="908"/>
      <c r="D735" s="908"/>
      <c r="E735" s="908"/>
      <c r="F735" s="908"/>
      <c r="G735" s="908"/>
      <c r="H735" s="908"/>
      <c r="I735" s="908"/>
      <c r="J735" s="1016"/>
      <c r="K735" s="900"/>
      <c r="L735" s="900"/>
    </row>
    <row r="736" spans="1:12" ht="15.75" customHeight="1">
      <c r="A736" s="908"/>
      <c r="B736" s="908"/>
      <c r="C736" s="908"/>
      <c r="D736" s="908"/>
      <c r="E736" s="908"/>
      <c r="F736" s="908"/>
      <c r="G736" s="908"/>
      <c r="H736" s="908"/>
      <c r="I736" s="908"/>
      <c r="J736" s="1016"/>
      <c r="K736" s="900"/>
      <c r="L736" s="900"/>
    </row>
    <row r="737" spans="1:12" ht="15.75" customHeight="1">
      <c r="A737" s="908"/>
      <c r="B737" s="908"/>
      <c r="C737" s="908"/>
      <c r="D737" s="908"/>
      <c r="E737" s="908"/>
      <c r="F737" s="908"/>
      <c r="G737" s="908"/>
      <c r="H737" s="908"/>
      <c r="I737" s="908"/>
      <c r="J737" s="1016"/>
      <c r="K737" s="900"/>
      <c r="L737" s="900"/>
    </row>
    <row r="738" spans="1:12" ht="15.75" customHeight="1">
      <c r="A738" s="908"/>
      <c r="B738" s="908"/>
      <c r="C738" s="908"/>
      <c r="D738" s="908"/>
      <c r="E738" s="908"/>
      <c r="F738" s="908"/>
      <c r="G738" s="908"/>
      <c r="H738" s="908"/>
      <c r="I738" s="908"/>
      <c r="J738" s="1016"/>
      <c r="K738" s="900"/>
      <c r="L738" s="900"/>
    </row>
    <row r="739" spans="1:12" ht="15.75" customHeight="1">
      <c r="A739" s="908"/>
      <c r="B739" s="908"/>
      <c r="C739" s="908"/>
      <c r="D739" s="908"/>
      <c r="E739" s="908"/>
      <c r="F739" s="908"/>
      <c r="G739" s="908"/>
      <c r="H739" s="908"/>
      <c r="I739" s="908"/>
      <c r="J739" s="1016"/>
      <c r="K739" s="900"/>
      <c r="L739" s="900"/>
    </row>
    <row r="740" spans="1:12" ht="15.75" customHeight="1">
      <c r="A740" s="908"/>
      <c r="B740" s="908"/>
      <c r="C740" s="908"/>
      <c r="D740" s="908"/>
      <c r="E740" s="908"/>
      <c r="F740" s="908"/>
      <c r="G740" s="908"/>
      <c r="H740" s="908"/>
      <c r="I740" s="908"/>
      <c r="J740" s="1016"/>
      <c r="K740" s="900"/>
      <c r="L740" s="900"/>
    </row>
    <row r="741" spans="1:12" ht="15.75" customHeight="1">
      <c r="A741" s="908"/>
      <c r="B741" s="908"/>
      <c r="C741" s="908"/>
      <c r="D741" s="908"/>
      <c r="E741" s="908"/>
      <c r="F741" s="908"/>
      <c r="G741" s="908"/>
      <c r="H741" s="908"/>
      <c r="I741" s="908"/>
      <c r="J741" s="1016"/>
      <c r="K741" s="900"/>
      <c r="L741" s="900"/>
    </row>
    <row r="742" spans="1:12" ht="15.75" customHeight="1">
      <c r="A742" s="908"/>
      <c r="B742" s="908"/>
      <c r="C742" s="908"/>
      <c r="D742" s="908"/>
      <c r="E742" s="908"/>
      <c r="F742" s="908"/>
      <c r="G742" s="908"/>
      <c r="H742" s="908"/>
      <c r="I742" s="908"/>
      <c r="J742" s="1016"/>
      <c r="K742" s="900"/>
      <c r="L742" s="900"/>
    </row>
    <row r="743" spans="1:12" ht="15.75" customHeight="1">
      <c r="A743" s="908"/>
      <c r="B743" s="908"/>
      <c r="C743" s="908"/>
      <c r="D743" s="908"/>
      <c r="E743" s="908"/>
      <c r="F743" s="908"/>
      <c r="G743" s="908"/>
      <c r="H743" s="908"/>
      <c r="I743" s="908"/>
      <c r="J743" s="1016"/>
      <c r="K743" s="900"/>
      <c r="L743" s="900"/>
    </row>
    <row r="744" spans="1:12" ht="15.75" customHeight="1">
      <c r="A744" s="908"/>
      <c r="B744" s="908"/>
      <c r="C744" s="908"/>
      <c r="D744" s="908"/>
      <c r="E744" s="908"/>
      <c r="F744" s="908"/>
      <c r="G744" s="908"/>
      <c r="H744" s="908"/>
      <c r="I744" s="908"/>
      <c r="J744" s="1016"/>
      <c r="K744" s="900"/>
      <c r="L744" s="900"/>
    </row>
    <row r="745" spans="1:12" ht="15.75" customHeight="1">
      <c r="A745" s="908"/>
      <c r="B745" s="908"/>
      <c r="C745" s="908"/>
      <c r="D745" s="908"/>
      <c r="E745" s="908"/>
      <c r="F745" s="908"/>
      <c r="G745" s="908"/>
      <c r="H745" s="908"/>
      <c r="I745" s="908"/>
      <c r="J745" s="1016"/>
      <c r="K745" s="900"/>
      <c r="L745" s="900"/>
    </row>
    <row r="746" spans="1:12" ht="15.75" customHeight="1">
      <c r="A746" s="908"/>
      <c r="B746" s="908"/>
      <c r="C746" s="908"/>
      <c r="D746" s="908"/>
      <c r="E746" s="908"/>
      <c r="F746" s="908"/>
      <c r="G746" s="908"/>
      <c r="H746" s="908"/>
      <c r="I746" s="908"/>
      <c r="J746" s="1016"/>
      <c r="K746" s="900"/>
      <c r="L746" s="900"/>
    </row>
    <row r="747" spans="1:12" ht="15.75" customHeight="1">
      <c r="A747" s="908"/>
      <c r="B747" s="908"/>
      <c r="C747" s="908"/>
      <c r="D747" s="908"/>
      <c r="E747" s="908"/>
      <c r="F747" s="908"/>
      <c r="G747" s="908"/>
      <c r="H747" s="908"/>
      <c r="I747" s="908"/>
      <c r="J747" s="1016"/>
      <c r="K747" s="900"/>
      <c r="L747" s="900"/>
    </row>
    <row r="748" spans="1:12" ht="15.75" customHeight="1">
      <c r="A748" s="908"/>
      <c r="B748" s="908"/>
      <c r="C748" s="908"/>
      <c r="D748" s="908"/>
      <c r="E748" s="908"/>
      <c r="F748" s="908"/>
      <c r="G748" s="908"/>
      <c r="H748" s="908"/>
      <c r="I748" s="908"/>
      <c r="J748" s="1016"/>
      <c r="K748" s="900"/>
      <c r="L748" s="900"/>
    </row>
    <row r="749" spans="1:12" ht="15.75" customHeight="1">
      <c r="A749" s="908"/>
      <c r="B749" s="908"/>
      <c r="C749" s="908"/>
      <c r="D749" s="908"/>
      <c r="E749" s="908"/>
      <c r="F749" s="908"/>
      <c r="G749" s="908"/>
      <c r="H749" s="908"/>
      <c r="I749" s="908"/>
      <c r="J749" s="1016"/>
      <c r="K749" s="900"/>
      <c r="L749" s="900"/>
    </row>
    <row r="750" spans="1:12" ht="15.75" customHeight="1">
      <c r="A750" s="908"/>
      <c r="B750" s="908"/>
      <c r="C750" s="908"/>
      <c r="D750" s="908"/>
      <c r="E750" s="908"/>
      <c r="F750" s="908"/>
      <c r="G750" s="908"/>
      <c r="H750" s="908"/>
      <c r="I750" s="908"/>
      <c r="J750" s="1016"/>
      <c r="K750" s="900"/>
      <c r="L750" s="900"/>
    </row>
    <row r="751" spans="1:12" ht="15.75" customHeight="1">
      <c r="A751" s="908"/>
      <c r="B751" s="908"/>
      <c r="C751" s="908"/>
      <c r="D751" s="908"/>
      <c r="E751" s="908"/>
      <c r="F751" s="908"/>
      <c r="G751" s="908"/>
      <c r="H751" s="908"/>
      <c r="I751" s="908"/>
      <c r="J751" s="1016"/>
      <c r="K751" s="900"/>
      <c r="L751" s="900"/>
    </row>
    <row r="752" spans="1:12" ht="15.75" customHeight="1">
      <c r="A752" s="908"/>
      <c r="B752" s="908"/>
      <c r="C752" s="908"/>
      <c r="D752" s="908"/>
      <c r="E752" s="908"/>
      <c r="F752" s="908"/>
      <c r="G752" s="908"/>
      <c r="H752" s="908"/>
      <c r="I752" s="908"/>
      <c r="J752" s="1016"/>
      <c r="K752" s="900"/>
      <c r="L752" s="900"/>
    </row>
    <row r="753" spans="1:12" ht="15.75" customHeight="1">
      <c r="A753" s="908"/>
      <c r="B753" s="908"/>
      <c r="C753" s="908"/>
      <c r="D753" s="908"/>
      <c r="E753" s="908"/>
      <c r="F753" s="908"/>
      <c r="G753" s="908"/>
      <c r="H753" s="908"/>
      <c r="I753" s="908"/>
      <c r="J753" s="1016"/>
      <c r="K753" s="900"/>
      <c r="L753" s="900"/>
    </row>
    <row r="754" spans="1:12" ht="15.75" customHeight="1">
      <c r="A754" s="908"/>
      <c r="B754" s="908"/>
      <c r="C754" s="908"/>
      <c r="D754" s="908"/>
      <c r="E754" s="908"/>
      <c r="F754" s="908"/>
      <c r="G754" s="908"/>
      <c r="H754" s="908"/>
      <c r="I754" s="908"/>
      <c r="J754" s="1016"/>
      <c r="K754" s="900"/>
      <c r="L754" s="900"/>
    </row>
    <row r="755" spans="1:12" ht="15.75" customHeight="1">
      <c r="A755" s="908"/>
      <c r="B755" s="908"/>
      <c r="C755" s="908"/>
      <c r="D755" s="908"/>
      <c r="E755" s="908"/>
      <c r="F755" s="908"/>
      <c r="G755" s="908"/>
      <c r="H755" s="908"/>
      <c r="I755" s="908"/>
      <c r="J755" s="1016"/>
      <c r="K755" s="900"/>
      <c r="L755" s="900"/>
    </row>
    <row r="756" spans="1:12" ht="15.75" customHeight="1">
      <c r="A756" s="908"/>
      <c r="B756" s="908"/>
      <c r="C756" s="908"/>
      <c r="D756" s="908"/>
      <c r="E756" s="908"/>
      <c r="F756" s="908"/>
      <c r="G756" s="908"/>
      <c r="H756" s="908"/>
      <c r="I756" s="908"/>
      <c r="J756" s="1016"/>
      <c r="K756" s="900"/>
      <c r="L756" s="900"/>
    </row>
    <row r="757" spans="1:12" ht="15.75" customHeight="1">
      <c r="A757" s="908"/>
      <c r="B757" s="908"/>
      <c r="C757" s="908"/>
      <c r="D757" s="908"/>
      <c r="E757" s="908"/>
      <c r="F757" s="908"/>
      <c r="G757" s="908"/>
      <c r="H757" s="908"/>
      <c r="I757" s="908"/>
      <c r="J757" s="1016"/>
      <c r="K757" s="900"/>
      <c r="L757" s="900"/>
    </row>
    <row r="758" spans="1:12" ht="15.75" customHeight="1">
      <c r="A758" s="908"/>
      <c r="B758" s="908"/>
      <c r="C758" s="908"/>
      <c r="D758" s="908"/>
      <c r="E758" s="908"/>
      <c r="F758" s="908"/>
      <c r="G758" s="908"/>
      <c r="H758" s="908"/>
      <c r="I758" s="908"/>
      <c r="J758" s="1016"/>
      <c r="K758" s="900"/>
      <c r="L758" s="900"/>
    </row>
    <row r="759" spans="1:12" ht="15.75" customHeight="1">
      <c r="A759" s="908"/>
      <c r="B759" s="908"/>
      <c r="C759" s="908"/>
      <c r="D759" s="908"/>
      <c r="E759" s="908"/>
      <c r="F759" s="908"/>
      <c r="G759" s="908"/>
      <c r="H759" s="908"/>
      <c r="I759" s="908"/>
      <c r="J759" s="1016"/>
      <c r="K759" s="900"/>
      <c r="L759" s="900"/>
    </row>
    <row r="760" spans="1:12" ht="15.75" customHeight="1">
      <c r="A760" s="908"/>
      <c r="B760" s="908"/>
      <c r="C760" s="908"/>
      <c r="D760" s="908"/>
      <c r="E760" s="908"/>
      <c r="F760" s="908"/>
      <c r="G760" s="908"/>
      <c r="H760" s="908"/>
      <c r="I760" s="908"/>
      <c r="J760" s="1016"/>
      <c r="K760" s="900"/>
      <c r="L760" s="900"/>
    </row>
    <row r="761" spans="1:12" ht="15.75" customHeight="1">
      <c r="A761" s="908"/>
      <c r="B761" s="908"/>
      <c r="C761" s="908"/>
      <c r="D761" s="908"/>
      <c r="E761" s="908"/>
      <c r="F761" s="908"/>
      <c r="G761" s="908"/>
      <c r="H761" s="908"/>
      <c r="I761" s="908"/>
      <c r="J761" s="1016"/>
      <c r="K761" s="900"/>
      <c r="L761" s="900"/>
    </row>
    <row r="762" spans="1:12" ht="15.75" customHeight="1">
      <c r="A762" s="908"/>
      <c r="B762" s="908"/>
      <c r="C762" s="908"/>
      <c r="D762" s="908"/>
      <c r="E762" s="908"/>
      <c r="F762" s="908"/>
      <c r="G762" s="908"/>
      <c r="H762" s="908"/>
      <c r="I762" s="908"/>
      <c r="J762" s="1016"/>
      <c r="K762" s="900"/>
      <c r="L762" s="900"/>
    </row>
    <row r="763" spans="1:12" ht="15.75" customHeight="1">
      <c r="A763" s="908"/>
      <c r="B763" s="908"/>
      <c r="C763" s="908"/>
      <c r="D763" s="908"/>
      <c r="E763" s="908"/>
      <c r="F763" s="908"/>
      <c r="G763" s="908"/>
      <c r="H763" s="908"/>
      <c r="I763" s="908"/>
      <c r="J763" s="1016"/>
      <c r="K763" s="900"/>
      <c r="L763" s="900"/>
    </row>
    <row r="764" spans="1:12" ht="15.75" customHeight="1">
      <c r="A764" s="908"/>
      <c r="B764" s="908"/>
      <c r="C764" s="908"/>
      <c r="D764" s="908"/>
      <c r="E764" s="908"/>
      <c r="F764" s="908"/>
      <c r="G764" s="908"/>
      <c r="H764" s="908"/>
      <c r="I764" s="908"/>
      <c r="J764" s="1016"/>
      <c r="K764" s="900"/>
      <c r="L764" s="900"/>
    </row>
    <row r="765" spans="1:12" ht="15.75" customHeight="1">
      <c r="A765" s="908"/>
      <c r="B765" s="908"/>
      <c r="C765" s="908"/>
      <c r="D765" s="908"/>
      <c r="E765" s="908"/>
      <c r="F765" s="908"/>
      <c r="G765" s="908"/>
      <c r="H765" s="908"/>
      <c r="I765" s="908"/>
      <c r="J765" s="1016"/>
      <c r="K765" s="900"/>
      <c r="L765" s="900"/>
    </row>
    <row r="766" spans="1:12" ht="15.75" customHeight="1">
      <c r="A766" s="908"/>
      <c r="B766" s="908"/>
      <c r="C766" s="908"/>
      <c r="D766" s="908"/>
      <c r="E766" s="908"/>
      <c r="F766" s="908"/>
      <c r="G766" s="908"/>
      <c r="H766" s="908"/>
      <c r="I766" s="908"/>
      <c r="J766" s="1016"/>
      <c r="K766" s="900"/>
      <c r="L766" s="900"/>
    </row>
    <row r="767" spans="1:12" ht="15.75" customHeight="1">
      <c r="A767" s="908"/>
      <c r="B767" s="908"/>
      <c r="C767" s="908"/>
      <c r="D767" s="908"/>
      <c r="E767" s="908"/>
      <c r="F767" s="908"/>
      <c r="G767" s="908"/>
      <c r="H767" s="908"/>
      <c r="I767" s="908"/>
      <c r="J767" s="1016"/>
      <c r="K767" s="900"/>
      <c r="L767" s="900"/>
    </row>
    <row r="768" spans="1:12" ht="15.75" customHeight="1">
      <c r="A768" s="908"/>
      <c r="B768" s="908"/>
      <c r="C768" s="908"/>
      <c r="D768" s="908"/>
      <c r="E768" s="908"/>
      <c r="F768" s="908"/>
      <c r="G768" s="908"/>
      <c r="H768" s="908"/>
      <c r="I768" s="908"/>
      <c r="J768" s="1016"/>
      <c r="K768" s="900"/>
      <c r="L768" s="900"/>
    </row>
    <row r="769" spans="1:12" ht="15.75" customHeight="1">
      <c r="A769" s="908"/>
      <c r="B769" s="908"/>
      <c r="C769" s="908"/>
      <c r="D769" s="908"/>
      <c r="E769" s="908"/>
      <c r="F769" s="908"/>
      <c r="G769" s="908"/>
      <c r="H769" s="908"/>
      <c r="I769" s="908"/>
      <c r="J769" s="1016"/>
      <c r="K769" s="900"/>
      <c r="L769" s="900"/>
    </row>
    <row r="770" spans="1:12" ht="15.75" customHeight="1">
      <c r="A770" s="908"/>
      <c r="B770" s="908"/>
      <c r="C770" s="908"/>
      <c r="D770" s="908"/>
      <c r="E770" s="908"/>
      <c r="F770" s="908"/>
      <c r="G770" s="908"/>
      <c r="H770" s="908"/>
      <c r="I770" s="908"/>
      <c r="J770" s="1016"/>
      <c r="K770" s="900"/>
      <c r="L770" s="900"/>
    </row>
    <row r="771" spans="1:12" ht="15.75" customHeight="1">
      <c r="A771" s="908"/>
      <c r="B771" s="908"/>
      <c r="C771" s="908"/>
      <c r="D771" s="908"/>
      <c r="E771" s="908"/>
      <c r="F771" s="908"/>
      <c r="G771" s="908"/>
      <c r="H771" s="908"/>
      <c r="I771" s="908"/>
      <c r="J771" s="1016"/>
      <c r="K771" s="900"/>
      <c r="L771" s="900"/>
    </row>
    <row r="772" spans="1:12" ht="15.75" customHeight="1">
      <c r="A772" s="908"/>
      <c r="B772" s="908"/>
      <c r="C772" s="908"/>
      <c r="D772" s="908"/>
      <c r="E772" s="908"/>
      <c r="F772" s="908"/>
      <c r="G772" s="908"/>
      <c r="H772" s="908"/>
      <c r="I772" s="908"/>
      <c r="J772" s="1016"/>
      <c r="K772" s="900"/>
      <c r="L772" s="900"/>
    </row>
    <row r="773" spans="1:12" ht="15.75" customHeight="1">
      <c r="A773" s="908"/>
      <c r="B773" s="908"/>
      <c r="C773" s="908"/>
      <c r="D773" s="908"/>
      <c r="E773" s="908"/>
      <c r="F773" s="908"/>
      <c r="G773" s="908"/>
      <c r="H773" s="908"/>
      <c r="I773" s="908"/>
      <c r="J773" s="1016"/>
      <c r="K773" s="900"/>
      <c r="L773" s="900"/>
    </row>
    <row r="774" spans="1:12" ht="15.75" customHeight="1">
      <c r="A774" s="908"/>
      <c r="B774" s="908"/>
      <c r="C774" s="908"/>
      <c r="D774" s="908"/>
      <c r="E774" s="908"/>
      <c r="F774" s="908"/>
      <c r="G774" s="908"/>
      <c r="H774" s="908"/>
      <c r="I774" s="908"/>
      <c r="J774" s="1016"/>
      <c r="K774" s="900"/>
      <c r="L774" s="900"/>
    </row>
    <row r="775" spans="1:12" ht="15.75" customHeight="1">
      <c r="A775" s="908"/>
      <c r="B775" s="908"/>
      <c r="C775" s="908"/>
      <c r="D775" s="908"/>
      <c r="E775" s="908"/>
      <c r="F775" s="908"/>
      <c r="G775" s="908"/>
      <c r="H775" s="908"/>
      <c r="I775" s="908"/>
      <c r="J775" s="1016"/>
      <c r="K775" s="900"/>
      <c r="L775" s="900"/>
    </row>
    <row r="776" spans="1:12" ht="15.75" customHeight="1">
      <c r="A776" s="908"/>
      <c r="B776" s="908"/>
      <c r="C776" s="908"/>
      <c r="D776" s="908"/>
      <c r="E776" s="908"/>
      <c r="F776" s="908"/>
      <c r="G776" s="908"/>
      <c r="H776" s="908"/>
      <c r="I776" s="908"/>
      <c r="J776" s="1016"/>
      <c r="K776" s="900"/>
      <c r="L776" s="900"/>
    </row>
    <row r="777" spans="1:12" ht="15.75" customHeight="1">
      <c r="A777" s="908"/>
      <c r="B777" s="908"/>
      <c r="C777" s="908"/>
      <c r="D777" s="908"/>
      <c r="E777" s="908"/>
      <c r="F777" s="908"/>
      <c r="G777" s="908"/>
      <c r="H777" s="908"/>
      <c r="I777" s="908"/>
      <c r="J777" s="1016"/>
      <c r="K777" s="900"/>
      <c r="L777" s="900"/>
    </row>
    <row r="778" spans="1:12" ht="15.75" customHeight="1">
      <c r="A778" s="908"/>
      <c r="B778" s="908"/>
      <c r="C778" s="908"/>
      <c r="D778" s="908"/>
      <c r="E778" s="908"/>
      <c r="F778" s="908"/>
      <c r="G778" s="908"/>
      <c r="H778" s="908"/>
      <c r="I778" s="908"/>
      <c r="J778" s="1016"/>
      <c r="K778" s="900"/>
      <c r="L778" s="900"/>
    </row>
    <row r="779" spans="1:12" ht="15.75" customHeight="1">
      <c r="A779" s="908"/>
      <c r="B779" s="908"/>
      <c r="C779" s="908"/>
      <c r="D779" s="908"/>
      <c r="E779" s="908"/>
      <c r="F779" s="908"/>
      <c r="G779" s="908"/>
      <c r="H779" s="908"/>
      <c r="I779" s="908"/>
      <c r="J779" s="1016"/>
      <c r="K779" s="900"/>
      <c r="L779" s="900"/>
    </row>
    <row r="780" spans="1:12" ht="15.75" customHeight="1">
      <c r="A780" s="908"/>
      <c r="B780" s="908"/>
      <c r="C780" s="908"/>
      <c r="D780" s="908"/>
      <c r="E780" s="908"/>
      <c r="F780" s="908"/>
      <c r="G780" s="908"/>
      <c r="H780" s="908"/>
      <c r="I780" s="908"/>
      <c r="J780" s="1016"/>
      <c r="K780" s="900"/>
      <c r="L780" s="900"/>
    </row>
    <row r="781" spans="1:12" ht="15.75" customHeight="1">
      <c r="A781" s="908"/>
      <c r="B781" s="908"/>
      <c r="C781" s="908"/>
      <c r="D781" s="908"/>
      <c r="E781" s="908"/>
      <c r="F781" s="908"/>
      <c r="G781" s="908"/>
      <c r="H781" s="908"/>
      <c r="I781" s="908"/>
      <c r="J781" s="1016"/>
      <c r="K781" s="900"/>
      <c r="L781" s="900"/>
    </row>
    <row r="782" spans="1:12" ht="15.75" customHeight="1">
      <c r="A782" s="908"/>
      <c r="B782" s="908"/>
      <c r="C782" s="908"/>
      <c r="D782" s="908"/>
      <c r="E782" s="908"/>
      <c r="F782" s="908"/>
      <c r="G782" s="908"/>
      <c r="H782" s="908"/>
      <c r="I782" s="908"/>
      <c r="J782" s="1016"/>
      <c r="K782" s="900"/>
      <c r="L782" s="900"/>
    </row>
    <row r="783" spans="1:12" ht="15.75" customHeight="1">
      <c r="A783" s="908"/>
      <c r="B783" s="908"/>
      <c r="C783" s="908"/>
      <c r="D783" s="908"/>
      <c r="E783" s="908"/>
      <c r="F783" s="908"/>
      <c r="G783" s="908"/>
      <c r="H783" s="908"/>
      <c r="I783" s="908"/>
      <c r="J783" s="1016"/>
      <c r="K783" s="900"/>
      <c r="L783" s="900"/>
    </row>
    <row r="784" spans="1:12" ht="15.75" customHeight="1">
      <c r="A784" s="908"/>
      <c r="B784" s="908"/>
      <c r="C784" s="908"/>
      <c r="D784" s="908"/>
      <c r="E784" s="908"/>
      <c r="F784" s="908"/>
      <c r="G784" s="908"/>
      <c r="H784" s="908"/>
      <c r="I784" s="908"/>
      <c r="J784" s="1016"/>
      <c r="K784" s="900"/>
      <c r="L784" s="900"/>
    </row>
    <row r="785" spans="1:12" ht="15.75" customHeight="1">
      <c r="A785" s="908"/>
      <c r="B785" s="908"/>
      <c r="C785" s="908"/>
      <c r="D785" s="908"/>
      <c r="E785" s="908"/>
      <c r="F785" s="908"/>
      <c r="G785" s="908"/>
      <c r="H785" s="908"/>
      <c r="I785" s="908"/>
      <c r="J785" s="1016"/>
      <c r="K785" s="900"/>
      <c r="L785" s="900"/>
    </row>
    <row r="786" spans="1:12" ht="15.75" customHeight="1">
      <c r="A786" s="908"/>
      <c r="B786" s="908"/>
      <c r="C786" s="908"/>
      <c r="D786" s="908"/>
      <c r="E786" s="908"/>
      <c r="F786" s="908"/>
      <c r="G786" s="908"/>
      <c r="H786" s="908"/>
      <c r="I786" s="908"/>
      <c r="J786" s="1016"/>
      <c r="K786" s="900"/>
      <c r="L786" s="900"/>
    </row>
    <row r="787" spans="1:12" ht="15.75" customHeight="1">
      <c r="A787" s="908"/>
      <c r="B787" s="908"/>
      <c r="C787" s="908"/>
      <c r="D787" s="908"/>
      <c r="E787" s="908"/>
      <c r="F787" s="908"/>
      <c r="G787" s="908"/>
      <c r="H787" s="908"/>
      <c r="I787" s="908"/>
      <c r="J787" s="1016"/>
      <c r="K787" s="900"/>
      <c r="L787" s="900"/>
    </row>
    <row r="788" spans="1:12" ht="15.75" customHeight="1">
      <c r="A788" s="908"/>
      <c r="B788" s="908"/>
      <c r="C788" s="908"/>
      <c r="D788" s="908"/>
      <c r="E788" s="908"/>
      <c r="F788" s="908"/>
      <c r="G788" s="908"/>
      <c r="H788" s="908"/>
      <c r="I788" s="908"/>
      <c r="J788" s="1016"/>
      <c r="K788" s="900"/>
      <c r="L788" s="900"/>
    </row>
    <row r="789" spans="1:12" ht="15.75" customHeight="1">
      <c r="A789" s="908"/>
      <c r="B789" s="908"/>
      <c r="C789" s="908"/>
      <c r="D789" s="908"/>
      <c r="E789" s="908"/>
      <c r="F789" s="908"/>
      <c r="G789" s="908"/>
      <c r="H789" s="908"/>
      <c r="I789" s="908"/>
      <c r="J789" s="1016"/>
      <c r="K789" s="900"/>
      <c r="L789" s="900"/>
    </row>
    <row r="790" spans="1:12" ht="15.75" customHeight="1">
      <c r="A790" s="908"/>
      <c r="B790" s="908"/>
      <c r="C790" s="908"/>
      <c r="D790" s="908"/>
      <c r="E790" s="908"/>
      <c r="F790" s="908"/>
      <c r="G790" s="908"/>
      <c r="H790" s="908"/>
      <c r="I790" s="908"/>
      <c r="J790" s="1016"/>
      <c r="K790" s="900"/>
      <c r="L790" s="900"/>
    </row>
    <row r="791" spans="1:12" ht="15.75" customHeight="1">
      <c r="A791" s="908"/>
      <c r="B791" s="908"/>
      <c r="C791" s="908"/>
      <c r="D791" s="908"/>
      <c r="E791" s="908"/>
      <c r="F791" s="908"/>
      <c r="G791" s="908"/>
      <c r="H791" s="908"/>
      <c r="I791" s="908"/>
      <c r="J791" s="1016"/>
      <c r="K791" s="900"/>
      <c r="L791" s="900"/>
    </row>
    <row r="792" spans="1:12" ht="15.75" customHeight="1">
      <c r="A792" s="908"/>
      <c r="B792" s="908"/>
      <c r="C792" s="908"/>
      <c r="D792" s="908"/>
      <c r="E792" s="908"/>
      <c r="F792" s="908"/>
      <c r="G792" s="908"/>
      <c r="H792" s="908"/>
      <c r="I792" s="908"/>
      <c r="J792" s="1016"/>
      <c r="K792" s="900"/>
      <c r="L792" s="900"/>
    </row>
    <row r="793" spans="1:12" ht="15.75" customHeight="1">
      <c r="A793" s="908"/>
      <c r="B793" s="908"/>
      <c r="C793" s="908"/>
      <c r="D793" s="908"/>
      <c r="E793" s="908"/>
      <c r="F793" s="908"/>
      <c r="G793" s="908"/>
      <c r="H793" s="908"/>
      <c r="I793" s="908"/>
      <c r="J793" s="1016"/>
      <c r="K793" s="900"/>
      <c r="L793" s="900"/>
    </row>
    <row r="794" spans="1:12" ht="15.75" customHeight="1">
      <c r="A794" s="908"/>
      <c r="B794" s="908"/>
      <c r="C794" s="908"/>
      <c r="D794" s="908"/>
      <c r="E794" s="908"/>
      <c r="F794" s="908"/>
      <c r="G794" s="908"/>
      <c r="H794" s="908"/>
      <c r="I794" s="908"/>
      <c r="J794" s="1016"/>
      <c r="K794" s="900"/>
      <c r="L794" s="900"/>
    </row>
    <row r="795" spans="1:12" ht="15.75" customHeight="1">
      <c r="A795" s="908"/>
      <c r="B795" s="908"/>
      <c r="C795" s="908"/>
      <c r="D795" s="908"/>
      <c r="E795" s="908"/>
      <c r="F795" s="908"/>
      <c r="G795" s="908"/>
      <c r="H795" s="908"/>
      <c r="I795" s="908"/>
      <c r="J795" s="1016"/>
      <c r="K795" s="900"/>
      <c r="L795" s="900"/>
    </row>
    <row r="796" spans="1:12" ht="15.75" customHeight="1">
      <c r="A796" s="908"/>
      <c r="B796" s="908"/>
      <c r="C796" s="908"/>
      <c r="D796" s="908"/>
      <c r="E796" s="908"/>
      <c r="F796" s="908"/>
      <c r="G796" s="908"/>
      <c r="H796" s="908"/>
      <c r="I796" s="908"/>
      <c r="J796" s="1016"/>
      <c r="K796" s="900"/>
      <c r="L796" s="900"/>
    </row>
    <row r="797" spans="1:12" ht="15.75" customHeight="1">
      <c r="A797" s="908"/>
      <c r="B797" s="908"/>
      <c r="C797" s="908"/>
      <c r="D797" s="908"/>
      <c r="E797" s="908"/>
      <c r="F797" s="908"/>
      <c r="G797" s="908"/>
      <c r="H797" s="908"/>
      <c r="I797" s="908"/>
      <c r="J797" s="1016"/>
      <c r="K797" s="900"/>
      <c r="L797" s="900"/>
    </row>
    <row r="798" spans="1:12" ht="15.75" customHeight="1">
      <c r="A798" s="908"/>
      <c r="B798" s="908"/>
      <c r="C798" s="908"/>
      <c r="D798" s="908"/>
      <c r="E798" s="908"/>
      <c r="F798" s="908"/>
      <c r="G798" s="908"/>
      <c r="H798" s="908"/>
      <c r="I798" s="908"/>
      <c r="J798" s="1016"/>
      <c r="K798" s="900"/>
      <c r="L798" s="900"/>
    </row>
    <row r="799" spans="1:12" ht="15.75" customHeight="1">
      <c r="A799" s="908"/>
      <c r="B799" s="908"/>
      <c r="C799" s="908"/>
      <c r="D799" s="908"/>
      <c r="E799" s="908"/>
      <c r="F799" s="908"/>
      <c r="G799" s="908"/>
      <c r="H799" s="908"/>
      <c r="I799" s="908"/>
      <c r="J799" s="1016"/>
      <c r="K799" s="900"/>
      <c r="L799" s="900"/>
    </row>
    <row r="800" spans="1:12" ht="15.75" customHeight="1">
      <c r="A800" s="908"/>
      <c r="B800" s="908"/>
      <c r="C800" s="908"/>
      <c r="D800" s="908"/>
      <c r="E800" s="908"/>
      <c r="F800" s="908"/>
      <c r="G800" s="908"/>
      <c r="H800" s="908"/>
      <c r="I800" s="908"/>
      <c r="J800" s="1016"/>
      <c r="K800" s="900"/>
      <c r="L800" s="900"/>
    </row>
    <row r="801" spans="1:12" ht="15.75" customHeight="1">
      <c r="A801" s="908"/>
      <c r="B801" s="908"/>
      <c r="C801" s="908"/>
      <c r="D801" s="908"/>
      <c r="E801" s="908"/>
      <c r="F801" s="908"/>
      <c r="G801" s="908"/>
      <c r="H801" s="908"/>
      <c r="I801" s="908"/>
      <c r="J801" s="1016"/>
      <c r="K801" s="900"/>
      <c r="L801" s="900"/>
    </row>
    <row r="802" spans="1:12" ht="15.75" customHeight="1">
      <c r="A802" s="908"/>
      <c r="B802" s="908"/>
      <c r="C802" s="908"/>
      <c r="D802" s="908"/>
      <c r="E802" s="908"/>
      <c r="F802" s="908"/>
      <c r="G802" s="908"/>
      <c r="H802" s="908"/>
      <c r="I802" s="908"/>
      <c r="J802" s="1016"/>
      <c r="K802" s="900"/>
      <c r="L802" s="900"/>
    </row>
    <row r="803" spans="1:12" ht="15.75" customHeight="1">
      <c r="A803" s="908"/>
      <c r="B803" s="908"/>
      <c r="C803" s="908"/>
      <c r="D803" s="908"/>
      <c r="E803" s="908"/>
      <c r="F803" s="908"/>
      <c r="G803" s="908"/>
      <c r="H803" s="908"/>
      <c r="I803" s="908"/>
      <c r="J803" s="1016"/>
      <c r="K803" s="900"/>
      <c r="L803" s="900"/>
    </row>
    <row r="804" spans="1:12" ht="15.75" customHeight="1">
      <c r="A804" s="908"/>
      <c r="B804" s="908"/>
      <c r="C804" s="908"/>
      <c r="D804" s="908"/>
      <c r="E804" s="908"/>
      <c r="F804" s="908"/>
      <c r="G804" s="908"/>
      <c r="H804" s="908"/>
      <c r="I804" s="908"/>
      <c r="J804" s="1016"/>
      <c r="K804" s="900"/>
      <c r="L804" s="900"/>
    </row>
    <row r="805" spans="1:12" ht="15.75" customHeight="1">
      <c r="A805" s="908"/>
      <c r="B805" s="908"/>
      <c r="C805" s="908"/>
      <c r="D805" s="908"/>
      <c r="E805" s="908"/>
      <c r="F805" s="908"/>
      <c r="G805" s="908"/>
      <c r="H805" s="908"/>
      <c r="I805" s="908"/>
      <c r="J805" s="1016"/>
      <c r="K805" s="900"/>
      <c r="L805" s="900"/>
    </row>
    <row r="806" spans="1:12" ht="15.75" customHeight="1">
      <c r="A806" s="908"/>
      <c r="B806" s="908"/>
      <c r="C806" s="908"/>
      <c r="D806" s="908"/>
      <c r="E806" s="908"/>
      <c r="F806" s="908"/>
      <c r="G806" s="908"/>
      <c r="H806" s="908"/>
      <c r="I806" s="908"/>
      <c r="J806" s="1016"/>
      <c r="K806" s="900"/>
      <c r="L806" s="900"/>
    </row>
    <row r="807" spans="1:12" ht="15.75" customHeight="1">
      <c r="A807" s="908"/>
      <c r="B807" s="908"/>
      <c r="C807" s="908"/>
      <c r="D807" s="908"/>
      <c r="E807" s="908"/>
      <c r="F807" s="908"/>
      <c r="G807" s="908"/>
      <c r="H807" s="908"/>
      <c r="I807" s="908"/>
      <c r="J807" s="1016"/>
      <c r="K807" s="900"/>
      <c r="L807" s="900"/>
    </row>
    <row r="808" spans="1:12" ht="15.75" customHeight="1">
      <c r="A808" s="908"/>
      <c r="B808" s="908"/>
      <c r="C808" s="908"/>
      <c r="D808" s="908"/>
      <c r="E808" s="908"/>
      <c r="F808" s="908"/>
      <c r="G808" s="908"/>
      <c r="H808" s="908"/>
      <c r="I808" s="908"/>
      <c r="J808" s="1016"/>
      <c r="K808" s="900"/>
      <c r="L808" s="900"/>
    </row>
    <row r="809" spans="1:12" ht="15.75" customHeight="1">
      <c r="A809" s="908"/>
      <c r="B809" s="908"/>
      <c r="C809" s="908"/>
      <c r="D809" s="908"/>
      <c r="E809" s="908"/>
      <c r="F809" s="908"/>
      <c r="G809" s="908"/>
      <c r="H809" s="908"/>
      <c r="I809" s="908"/>
      <c r="J809" s="1016"/>
      <c r="K809" s="900"/>
      <c r="L809" s="900"/>
    </row>
    <row r="810" spans="1:12" ht="15.75" customHeight="1">
      <c r="A810" s="908"/>
      <c r="B810" s="908"/>
      <c r="C810" s="908"/>
      <c r="D810" s="908"/>
      <c r="E810" s="908"/>
      <c r="F810" s="908"/>
      <c r="G810" s="908"/>
      <c r="H810" s="908"/>
      <c r="I810" s="908"/>
      <c r="J810" s="1016"/>
      <c r="K810" s="900"/>
      <c r="L810" s="900"/>
    </row>
    <row r="811" spans="1:12" ht="15.75" customHeight="1">
      <c r="A811" s="908"/>
      <c r="B811" s="908"/>
      <c r="C811" s="908"/>
      <c r="D811" s="908"/>
      <c r="E811" s="908"/>
      <c r="F811" s="908"/>
      <c r="G811" s="908"/>
      <c r="H811" s="908"/>
      <c r="I811" s="908"/>
      <c r="J811" s="1016"/>
      <c r="K811" s="900"/>
      <c r="L811" s="900"/>
    </row>
    <row r="812" spans="1:12" ht="15.75" customHeight="1">
      <c r="A812" s="908"/>
      <c r="B812" s="908"/>
      <c r="C812" s="908"/>
      <c r="D812" s="908"/>
      <c r="E812" s="908"/>
      <c r="F812" s="908"/>
      <c r="G812" s="908"/>
      <c r="H812" s="908"/>
      <c r="I812" s="908"/>
      <c r="J812" s="1016"/>
      <c r="K812" s="900"/>
      <c r="L812" s="900"/>
    </row>
    <row r="813" spans="1:12" ht="15.75" customHeight="1">
      <c r="A813" s="908"/>
      <c r="B813" s="908"/>
      <c r="C813" s="908"/>
      <c r="D813" s="908"/>
      <c r="E813" s="908"/>
      <c r="F813" s="908"/>
      <c r="G813" s="908"/>
      <c r="H813" s="908"/>
      <c r="I813" s="908"/>
      <c r="J813" s="1016"/>
      <c r="K813" s="900"/>
      <c r="L813" s="900"/>
    </row>
    <row r="814" spans="1:12" ht="15.75" customHeight="1">
      <c r="A814" s="908"/>
      <c r="B814" s="908"/>
      <c r="C814" s="908"/>
      <c r="D814" s="908"/>
      <c r="E814" s="908"/>
      <c r="F814" s="908"/>
      <c r="G814" s="908"/>
      <c r="H814" s="908"/>
      <c r="I814" s="908"/>
      <c r="J814" s="1016"/>
      <c r="K814" s="900"/>
      <c r="L814" s="900"/>
    </row>
    <row r="815" spans="1:12" ht="15.75" customHeight="1">
      <c r="A815" s="908"/>
      <c r="B815" s="908"/>
      <c r="C815" s="908"/>
      <c r="D815" s="908"/>
      <c r="E815" s="908"/>
      <c r="F815" s="908"/>
      <c r="G815" s="908"/>
      <c r="H815" s="908"/>
      <c r="I815" s="908"/>
      <c r="J815" s="1016"/>
      <c r="K815" s="900"/>
      <c r="L815" s="900"/>
    </row>
    <row r="816" spans="1:12" ht="15.75" customHeight="1">
      <c r="A816" s="908"/>
      <c r="B816" s="908"/>
      <c r="C816" s="908"/>
      <c r="D816" s="908"/>
      <c r="E816" s="908"/>
      <c r="F816" s="908"/>
      <c r="G816" s="908"/>
      <c r="H816" s="908"/>
      <c r="I816" s="908"/>
      <c r="J816" s="1016"/>
      <c r="K816" s="900"/>
      <c r="L816" s="900"/>
    </row>
    <row r="817" spans="1:12" ht="15.75" customHeight="1">
      <c r="A817" s="908"/>
      <c r="B817" s="908"/>
      <c r="C817" s="908"/>
      <c r="D817" s="908"/>
      <c r="E817" s="908"/>
      <c r="F817" s="908"/>
      <c r="G817" s="908"/>
      <c r="H817" s="908"/>
      <c r="I817" s="908"/>
      <c r="J817" s="1016"/>
      <c r="K817" s="900"/>
      <c r="L817" s="900"/>
    </row>
    <row r="818" spans="1:12" ht="15.75" customHeight="1">
      <c r="A818" s="908"/>
      <c r="B818" s="908"/>
      <c r="C818" s="908"/>
      <c r="D818" s="908"/>
      <c r="E818" s="908"/>
      <c r="F818" s="908"/>
      <c r="G818" s="908"/>
      <c r="H818" s="908"/>
      <c r="I818" s="908"/>
      <c r="J818" s="1016"/>
      <c r="K818" s="900"/>
      <c r="L818" s="900"/>
    </row>
    <row r="819" spans="1:12" ht="15.75" customHeight="1">
      <c r="A819" s="908"/>
      <c r="B819" s="908"/>
      <c r="C819" s="908"/>
      <c r="D819" s="908"/>
      <c r="E819" s="908"/>
      <c r="F819" s="908"/>
      <c r="G819" s="908"/>
      <c r="H819" s="908"/>
      <c r="I819" s="908"/>
      <c r="J819" s="1016"/>
      <c r="K819" s="900"/>
      <c r="L819" s="900"/>
    </row>
    <row r="820" spans="1:12" ht="15.75" customHeight="1">
      <c r="A820" s="908"/>
      <c r="B820" s="908"/>
      <c r="C820" s="908"/>
      <c r="D820" s="908"/>
      <c r="E820" s="908"/>
      <c r="F820" s="908"/>
      <c r="G820" s="908"/>
      <c r="H820" s="908"/>
      <c r="I820" s="908"/>
      <c r="J820" s="1016"/>
      <c r="K820" s="900"/>
      <c r="L820" s="900"/>
    </row>
    <row r="821" spans="1:12" ht="15.75" customHeight="1">
      <c r="A821" s="908"/>
      <c r="B821" s="908"/>
      <c r="C821" s="908"/>
      <c r="D821" s="908"/>
      <c r="E821" s="908"/>
      <c r="F821" s="908"/>
      <c r="G821" s="908"/>
      <c r="H821" s="908"/>
      <c r="I821" s="908"/>
      <c r="J821" s="1016"/>
      <c r="K821" s="900"/>
      <c r="L821" s="900"/>
    </row>
    <row r="822" spans="1:12" ht="15.75" customHeight="1">
      <c r="A822" s="908"/>
      <c r="B822" s="908"/>
      <c r="C822" s="908"/>
      <c r="D822" s="908"/>
      <c r="E822" s="908"/>
      <c r="F822" s="908"/>
      <c r="G822" s="908"/>
      <c r="H822" s="908"/>
      <c r="I822" s="908"/>
      <c r="J822" s="1016"/>
      <c r="K822" s="900"/>
      <c r="L822" s="900"/>
    </row>
    <row r="823" spans="1:12" ht="15.75" customHeight="1">
      <c r="A823" s="908"/>
      <c r="B823" s="908"/>
      <c r="C823" s="908"/>
      <c r="D823" s="908"/>
      <c r="E823" s="908"/>
      <c r="F823" s="908"/>
      <c r="G823" s="908"/>
      <c r="H823" s="908"/>
      <c r="I823" s="908"/>
      <c r="J823" s="1016"/>
      <c r="K823" s="900"/>
      <c r="L823" s="900"/>
    </row>
    <row r="824" spans="1:12" ht="15.75" customHeight="1">
      <c r="A824" s="908"/>
      <c r="B824" s="908"/>
      <c r="C824" s="908"/>
      <c r="D824" s="908"/>
      <c r="E824" s="908"/>
      <c r="F824" s="908"/>
      <c r="G824" s="908"/>
      <c r="H824" s="908"/>
      <c r="I824" s="908"/>
      <c r="J824" s="1016"/>
      <c r="K824" s="900"/>
      <c r="L824" s="900"/>
    </row>
    <row r="825" spans="1:12" ht="15.75" customHeight="1">
      <c r="A825" s="908"/>
      <c r="B825" s="908"/>
      <c r="C825" s="908"/>
      <c r="D825" s="908"/>
      <c r="E825" s="908"/>
      <c r="F825" s="908"/>
      <c r="G825" s="908"/>
      <c r="H825" s="908"/>
      <c r="I825" s="908"/>
      <c r="J825" s="1016"/>
      <c r="K825" s="900"/>
      <c r="L825" s="900"/>
    </row>
    <row r="826" spans="1:12" ht="15.75" customHeight="1">
      <c r="A826" s="908"/>
      <c r="B826" s="908"/>
      <c r="C826" s="908"/>
      <c r="D826" s="908"/>
      <c r="E826" s="908"/>
      <c r="F826" s="908"/>
      <c r="G826" s="908"/>
      <c r="H826" s="908"/>
      <c r="I826" s="908"/>
      <c r="J826" s="1016"/>
      <c r="K826" s="900"/>
      <c r="L826" s="900"/>
    </row>
    <row r="827" spans="1:12" ht="15.75" customHeight="1">
      <c r="A827" s="908"/>
      <c r="B827" s="908"/>
      <c r="C827" s="908"/>
      <c r="D827" s="908"/>
      <c r="E827" s="908"/>
      <c r="F827" s="908"/>
      <c r="G827" s="908"/>
      <c r="H827" s="908"/>
      <c r="I827" s="908"/>
      <c r="J827" s="1016"/>
      <c r="K827" s="900"/>
      <c r="L827" s="900"/>
    </row>
    <row r="828" spans="1:12" ht="15.75" customHeight="1">
      <c r="A828" s="908"/>
      <c r="B828" s="908"/>
      <c r="C828" s="908"/>
      <c r="D828" s="908"/>
      <c r="E828" s="908"/>
      <c r="F828" s="908"/>
      <c r="G828" s="908"/>
      <c r="H828" s="908"/>
      <c r="I828" s="908"/>
      <c r="J828" s="1016"/>
      <c r="K828" s="900"/>
      <c r="L828" s="900"/>
    </row>
    <row r="829" spans="1:12" ht="15.75" customHeight="1">
      <c r="A829" s="908"/>
      <c r="B829" s="908"/>
      <c r="C829" s="908"/>
      <c r="D829" s="908"/>
      <c r="E829" s="908"/>
      <c r="F829" s="908"/>
      <c r="G829" s="908"/>
      <c r="H829" s="908"/>
      <c r="I829" s="908"/>
      <c r="J829" s="1016"/>
      <c r="K829" s="900"/>
      <c r="L829" s="900"/>
    </row>
    <row r="830" spans="1:12" ht="15.75" customHeight="1">
      <c r="A830" s="908"/>
      <c r="B830" s="908"/>
      <c r="C830" s="908"/>
      <c r="D830" s="908"/>
      <c r="E830" s="908"/>
      <c r="F830" s="908"/>
      <c r="G830" s="908"/>
      <c r="H830" s="908"/>
      <c r="I830" s="908"/>
      <c r="J830" s="1016"/>
      <c r="K830" s="900"/>
      <c r="L830" s="900"/>
    </row>
    <row r="831" spans="1:12" ht="15.75" customHeight="1">
      <c r="A831" s="908"/>
      <c r="B831" s="908"/>
      <c r="C831" s="908"/>
      <c r="D831" s="908"/>
      <c r="E831" s="908"/>
      <c r="F831" s="908"/>
      <c r="G831" s="908"/>
      <c r="H831" s="908"/>
      <c r="I831" s="908"/>
      <c r="J831" s="1016"/>
      <c r="K831" s="900"/>
      <c r="L831" s="900"/>
    </row>
    <row r="832" spans="1:12" ht="15.75" customHeight="1">
      <c r="A832" s="908"/>
      <c r="B832" s="908"/>
      <c r="C832" s="908"/>
      <c r="D832" s="908"/>
      <c r="E832" s="908"/>
      <c r="F832" s="908"/>
      <c r="G832" s="908"/>
      <c r="H832" s="908"/>
      <c r="I832" s="908"/>
      <c r="J832" s="1016"/>
      <c r="K832" s="900"/>
      <c r="L832" s="900"/>
    </row>
    <row r="833" spans="1:12" ht="15.75" customHeight="1">
      <c r="A833" s="908"/>
      <c r="B833" s="908"/>
      <c r="C833" s="908"/>
      <c r="D833" s="908"/>
      <c r="E833" s="908"/>
      <c r="F833" s="908"/>
      <c r="G833" s="908"/>
      <c r="H833" s="908"/>
      <c r="I833" s="908"/>
      <c r="J833" s="1016"/>
      <c r="K833" s="900"/>
      <c r="L833" s="900"/>
    </row>
    <row r="834" spans="1:12" ht="15.75" customHeight="1">
      <c r="A834" s="908"/>
      <c r="B834" s="908"/>
      <c r="C834" s="908"/>
      <c r="D834" s="908"/>
      <c r="E834" s="908"/>
      <c r="F834" s="908"/>
      <c r="G834" s="908"/>
      <c r="H834" s="908"/>
      <c r="I834" s="908"/>
      <c r="J834" s="1016"/>
      <c r="K834" s="900"/>
      <c r="L834" s="900"/>
    </row>
    <row r="835" spans="1:12" ht="15.75" customHeight="1">
      <c r="A835" s="908"/>
      <c r="B835" s="908"/>
      <c r="C835" s="908"/>
      <c r="D835" s="908"/>
      <c r="E835" s="908"/>
      <c r="F835" s="908"/>
      <c r="G835" s="908"/>
      <c r="H835" s="908"/>
      <c r="I835" s="908"/>
      <c r="J835" s="1016"/>
      <c r="K835" s="900"/>
      <c r="L835" s="900"/>
    </row>
    <row r="836" spans="1:12" ht="15.75" customHeight="1">
      <c r="A836" s="908"/>
      <c r="B836" s="908"/>
      <c r="C836" s="908"/>
      <c r="D836" s="908"/>
      <c r="E836" s="908"/>
      <c r="F836" s="908"/>
      <c r="G836" s="908"/>
      <c r="H836" s="908"/>
      <c r="I836" s="908"/>
      <c r="J836" s="1016"/>
      <c r="K836" s="900"/>
      <c r="L836" s="900"/>
    </row>
    <row r="837" spans="1:12" ht="15.75" customHeight="1">
      <c r="A837" s="908"/>
      <c r="B837" s="908"/>
      <c r="C837" s="908"/>
      <c r="D837" s="908"/>
      <c r="E837" s="908"/>
      <c r="F837" s="908"/>
      <c r="G837" s="908"/>
      <c r="H837" s="908"/>
      <c r="I837" s="908"/>
      <c r="J837" s="1016"/>
      <c r="K837" s="900"/>
      <c r="L837" s="900"/>
    </row>
    <row r="838" spans="1:12" ht="15.75" customHeight="1">
      <c r="A838" s="908"/>
      <c r="B838" s="908"/>
      <c r="C838" s="908"/>
      <c r="D838" s="908"/>
      <c r="E838" s="908"/>
      <c r="F838" s="908"/>
      <c r="G838" s="908"/>
      <c r="H838" s="908"/>
      <c r="I838" s="908"/>
      <c r="J838" s="1016"/>
      <c r="K838" s="900"/>
      <c r="L838" s="900"/>
    </row>
    <row r="839" spans="1:12" ht="15.75" customHeight="1">
      <c r="A839" s="908"/>
      <c r="B839" s="908"/>
      <c r="C839" s="908"/>
      <c r="D839" s="908"/>
      <c r="E839" s="908"/>
      <c r="F839" s="908"/>
      <c r="G839" s="908"/>
      <c r="H839" s="908"/>
      <c r="I839" s="908"/>
      <c r="J839" s="1016"/>
      <c r="K839" s="900"/>
      <c r="L839" s="900"/>
    </row>
    <row r="840" spans="1:12" ht="15.75" customHeight="1">
      <c r="A840" s="908"/>
      <c r="B840" s="908"/>
      <c r="C840" s="908"/>
      <c r="D840" s="908"/>
      <c r="E840" s="908"/>
      <c r="F840" s="908"/>
      <c r="G840" s="908"/>
      <c r="H840" s="908"/>
      <c r="I840" s="908"/>
      <c r="J840" s="1016"/>
      <c r="K840" s="900"/>
      <c r="L840" s="900"/>
    </row>
    <row r="841" spans="1:12" ht="15.75" customHeight="1">
      <c r="A841" s="908"/>
      <c r="B841" s="908"/>
      <c r="C841" s="908"/>
      <c r="D841" s="908"/>
      <c r="E841" s="908"/>
      <c r="F841" s="908"/>
      <c r="G841" s="908"/>
      <c r="H841" s="908"/>
      <c r="I841" s="908"/>
      <c r="J841" s="1016"/>
      <c r="K841" s="900"/>
      <c r="L841" s="900"/>
    </row>
    <row r="842" spans="1:12" ht="15.75" customHeight="1">
      <c r="A842" s="908"/>
      <c r="B842" s="908"/>
      <c r="C842" s="908"/>
      <c r="D842" s="908"/>
      <c r="E842" s="908"/>
      <c r="F842" s="908"/>
      <c r="G842" s="908"/>
      <c r="H842" s="908"/>
      <c r="I842" s="908"/>
      <c r="J842" s="1016"/>
      <c r="K842" s="900"/>
      <c r="L842" s="900"/>
    </row>
    <row r="843" spans="1:12" ht="15.75" customHeight="1">
      <c r="A843" s="908"/>
      <c r="B843" s="908"/>
      <c r="C843" s="908"/>
      <c r="D843" s="908"/>
      <c r="E843" s="908"/>
      <c r="F843" s="908"/>
      <c r="G843" s="908"/>
      <c r="H843" s="908"/>
      <c r="I843" s="908"/>
      <c r="J843" s="1016"/>
      <c r="K843" s="900"/>
      <c r="L843" s="900"/>
    </row>
    <row r="844" spans="1:12" ht="15.75" customHeight="1">
      <c r="A844" s="908"/>
      <c r="B844" s="908"/>
      <c r="C844" s="908"/>
      <c r="D844" s="908"/>
      <c r="E844" s="908"/>
      <c r="F844" s="908"/>
      <c r="G844" s="908"/>
      <c r="H844" s="908"/>
      <c r="I844" s="908"/>
      <c r="J844" s="1016"/>
      <c r="K844" s="900"/>
      <c r="L844" s="900"/>
    </row>
    <row r="845" spans="1:12" ht="15.75" customHeight="1">
      <c r="A845" s="908"/>
      <c r="B845" s="908"/>
      <c r="C845" s="908"/>
      <c r="D845" s="908"/>
      <c r="E845" s="908"/>
      <c r="F845" s="908"/>
      <c r="G845" s="908"/>
      <c r="H845" s="908"/>
      <c r="I845" s="908"/>
      <c r="J845" s="1016"/>
      <c r="K845" s="900"/>
      <c r="L845" s="900"/>
    </row>
    <row r="846" spans="1:12" ht="15.75" customHeight="1">
      <c r="A846" s="908"/>
      <c r="B846" s="908"/>
      <c r="C846" s="908"/>
      <c r="D846" s="908"/>
      <c r="E846" s="908"/>
      <c r="F846" s="908"/>
      <c r="G846" s="908"/>
      <c r="H846" s="908"/>
      <c r="I846" s="908"/>
      <c r="J846" s="1016"/>
      <c r="K846" s="900"/>
      <c r="L846" s="900"/>
    </row>
    <row r="847" spans="1:12" ht="15.75" customHeight="1">
      <c r="A847" s="908"/>
      <c r="B847" s="908"/>
      <c r="C847" s="908"/>
      <c r="D847" s="908"/>
      <c r="E847" s="908"/>
      <c r="F847" s="908"/>
      <c r="G847" s="908"/>
      <c r="H847" s="908"/>
      <c r="I847" s="908"/>
      <c r="J847" s="1016"/>
      <c r="K847" s="900"/>
      <c r="L847" s="900"/>
    </row>
    <row r="848" spans="1:12" ht="15.75" customHeight="1">
      <c r="A848" s="908"/>
      <c r="B848" s="908"/>
      <c r="C848" s="908"/>
      <c r="D848" s="908"/>
      <c r="E848" s="908"/>
      <c r="F848" s="908"/>
      <c r="G848" s="908"/>
      <c r="H848" s="908"/>
      <c r="I848" s="908"/>
      <c r="J848" s="1016"/>
      <c r="K848" s="900"/>
      <c r="L848" s="900"/>
    </row>
    <row r="849" spans="1:12" ht="15.75" customHeight="1">
      <c r="A849" s="908"/>
      <c r="B849" s="908"/>
      <c r="C849" s="908"/>
      <c r="D849" s="908"/>
      <c r="E849" s="908"/>
      <c r="F849" s="908"/>
      <c r="G849" s="908"/>
      <c r="H849" s="908"/>
      <c r="I849" s="908"/>
      <c r="J849" s="1016"/>
      <c r="K849" s="900"/>
      <c r="L849" s="900"/>
    </row>
    <row r="850" spans="1:12" ht="15.75" customHeight="1">
      <c r="A850" s="908"/>
      <c r="B850" s="908"/>
      <c r="C850" s="908"/>
      <c r="D850" s="908"/>
      <c r="E850" s="908"/>
      <c r="F850" s="908"/>
      <c r="G850" s="908"/>
      <c r="H850" s="908"/>
      <c r="I850" s="908"/>
      <c r="J850" s="1016"/>
      <c r="K850" s="900"/>
      <c r="L850" s="900"/>
    </row>
    <row r="851" spans="1:12" ht="15.75" customHeight="1">
      <c r="A851" s="908"/>
      <c r="B851" s="908"/>
      <c r="C851" s="908"/>
      <c r="D851" s="908"/>
      <c r="E851" s="908"/>
      <c r="F851" s="908"/>
      <c r="G851" s="908"/>
      <c r="H851" s="908"/>
      <c r="I851" s="908"/>
      <c r="J851" s="1016"/>
      <c r="K851" s="900"/>
      <c r="L851" s="900"/>
    </row>
    <row r="852" spans="1:12" ht="15.75" customHeight="1">
      <c r="A852" s="908"/>
      <c r="B852" s="908"/>
      <c r="C852" s="908"/>
      <c r="D852" s="908"/>
      <c r="E852" s="908"/>
      <c r="F852" s="908"/>
      <c r="G852" s="908"/>
      <c r="H852" s="908"/>
      <c r="I852" s="908"/>
      <c r="J852" s="1016"/>
      <c r="K852" s="900"/>
      <c r="L852" s="900"/>
    </row>
    <row r="853" spans="1:12" ht="15.75" customHeight="1">
      <c r="A853" s="908"/>
      <c r="B853" s="908"/>
      <c r="C853" s="908"/>
      <c r="D853" s="908"/>
      <c r="E853" s="908"/>
      <c r="F853" s="908"/>
      <c r="G853" s="908"/>
      <c r="H853" s="908"/>
      <c r="I853" s="908"/>
      <c r="J853" s="1016"/>
      <c r="K853" s="900"/>
      <c r="L853" s="900"/>
    </row>
    <row r="854" spans="1:12" ht="15.75" customHeight="1">
      <c r="A854" s="908"/>
      <c r="B854" s="908"/>
      <c r="C854" s="908"/>
      <c r="D854" s="908"/>
      <c r="E854" s="908"/>
      <c r="F854" s="908"/>
      <c r="G854" s="908"/>
      <c r="H854" s="908"/>
      <c r="I854" s="908"/>
      <c r="J854" s="1016"/>
      <c r="K854" s="900"/>
      <c r="L854" s="900"/>
    </row>
    <row r="855" spans="1:12" ht="15.75" customHeight="1">
      <c r="A855" s="908"/>
      <c r="B855" s="908"/>
      <c r="C855" s="908"/>
      <c r="D855" s="908"/>
      <c r="E855" s="908"/>
      <c r="F855" s="908"/>
      <c r="G855" s="908"/>
      <c r="H855" s="908"/>
      <c r="I855" s="908"/>
      <c r="J855" s="1016"/>
      <c r="K855" s="900"/>
      <c r="L855" s="900"/>
    </row>
    <row r="856" spans="1:12" ht="15.75" customHeight="1">
      <c r="A856" s="908"/>
      <c r="B856" s="908"/>
      <c r="C856" s="908"/>
      <c r="D856" s="908"/>
      <c r="E856" s="908"/>
      <c r="F856" s="908"/>
      <c r="G856" s="908"/>
      <c r="H856" s="908"/>
      <c r="I856" s="908"/>
      <c r="J856" s="1016"/>
      <c r="K856" s="900"/>
      <c r="L856" s="900"/>
    </row>
    <row r="857" spans="1:12" ht="15.75" customHeight="1">
      <c r="A857" s="908"/>
      <c r="B857" s="908"/>
      <c r="C857" s="908"/>
      <c r="D857" s="908"/>
      <c r="E857" s="908"/>
      <c r="F857" s="908"/>
      <c r="G857" s="908"/>
      <c r="H857" s="908"/>
      <c r="I857" s="908"/>
      <c r="J857" s="1016"/>
      <c r="K857" s="900"/>
      <c r="L857" s="900"/>
    </row>
    <row r="858" spans="1:12" ht="15.75" customHeight="1">
      <c r="A858" s="908"/>
      <c r="B858" s="908"/>
      <c r="C858" s="908"/>
      <c r="D858" s="908"/>
      <c r="E858" s="908"/>
      <c r="F858" s="908"/>
      <c r="G858" s="908"/>
      <c r="H858" s="908"/>
      <c r="I858" s="908"/>
      <c r="J858" s="1016"/>
      <c r="K858" s="900"/>
      <c r="L858" s="900"/>
    </row>
    <row r="859" spans="1:12" ht="15.75" customHeight="1">
      <c r="A859" s="908"/>
      <c r="B859" s="908"/>
      <c r="C859" s="908"/>
      <c r="D859" s="908"/>
      <c r="E859" s="908"/>
      <c r="F859" s="908"/>
      <c r="G859" s="908"/>
      <c r="H859" s="908"/>
      <c r="I859" s="908"/>
      <c r="J859" s="1016"/>
      <c r="K859" s="900"/>
      <c r="L859" s="900"/>
    </row>
    <row r="860" spans="1:12" ht="15.75" customHeight="1">
      <c r="A860" s="908"/>
      <c r="B860" s="908"/>
      <c r="C860" s="908"/>
      <c r="D860" s="908"/>
      <c r="E860" s="908"/>
      <c r="F860" s="908"/>
      <c r="G860" s="908"/>
      <c r="H860" s="908"/>
      <c r="I860" s="908"/>
      <c r="J860" s="1016"/>
      <c r="K860" s="900"/>
      <c r="L860" s="900"/>
    </row>
    <row r="861" spans="1:12" ht="15.75" customHeight="1">
      <c r="A861" s="908"/>
      <c r="B861" s="908"/>
      <c r="C861" s="908"/>
      <c r="D861" s="908"/>
      <c r="E861" s="908"/>
      <c r="F861" s="908"/>
      <c r="G861" s="908"/>
      <c r="H861" s="908"/>
      <c r="I861" s="908"/>
      <c r="J861" s="1016"/>
      <c r="K861" s="900"/>
      <c r="L861" s="900"/>
    </row>
    <row r="862" spans="1:12" ht="15.75" customHeight="1">
      <c r="A862" s="908"/>
      <c r="B862" s="908"/>
      <c r="C862" s="908"/>
      <c r="D862" s="908"/>
      <c r="E862" s="908"/>
      <c r="F862" s="908"/>
      <c r="G862" s="908"/>
      <c r="H862" s="908"/>
      <c r="I862" s="908"/>
      <c r="J862" s="1016"/>
      <c r="K862" s="900"/>
      <c r="L862" s="900"/>
    </row>
    <row r="863" spans="1:12" ht="15.75" customHeight="1">
      <c r="A863" s="908"/>
      <c r="B863" s="908"/>
      <c r="C863" s="908"/>
      <c r="D863" s="908"/>
      <c r="E863" s="908"/>
      <c r="F863" s="908"/>
      <c r="G863" s="908"/>
      <c r="H863" s="908"/>
      <c r="I863" s="908"/>
      <c r="J863" s="1016"/>
      <c r="K863" s="900"/>
      <c r="L863" s="900"/>
    </row>
    <row r="864" spans="1:12" ht="15.75" customHeight="1">
      <c r="A864" s="908"/>
      <c r="B864" s="908"/>
      <c r="C864" s="908"/>
      <c r="D864" s="908"/>
      <c r="E864" s="908"/>
      <c r="F864" s="908"/>
      <c r="G864" s="908"/>
      <c r="H864" s="908"/>
      <c r="I864" s="908"/>
      <c r="J864" s="1016"/>
      <c r="K864" s="900"/>
      <c r="L864" s="900"/>
    </row>
    <row r="865" spans="1:12" ht="15.75" customHeight="1">
      <c r="A865" s="908"/>
      <c r="B865" s="908"/>
      <c r="C865" s="908"/>
      <c r="D865" s="908"/>
      <c r="E865" s="908"/>
      <c r="F865" s="908"/>
      <c r="G865" s="908"/>
      <c r="H865" s="908"/>
      <c r="I865" s="908"/>
      <c r="J865" s="1016"/>
      <c r="K865" s="900"/>
      <c r="L865" s="900"/>
    </row>
    <row r="866" spans="1:12" ht="15.75" customHeight="1">
      <c r="A866" s="908"/>
      <c r="B866" s="908"/>
      <c r="C866" s="908"/>
      <c r="D866" s="908"/>
      <c r="E866" s="908"/>
      <c r="F866" s="908"/>
      <c r="G866" s="908"/>
      <c r="H866" s="908"/>
      <c r="I866" s="908"/>
      <c r="J866" s="1016"/>
      <c r="K866" s="900"/>
      <c r="L866" s="900"/>
    </row>
    <row r="867" spans="1:12" ht="15.75" customHeight="1">
      <c r="A867" s="908"/>
      <c r="B867" s="908"/>
      <c r="C867" s="908"/>
      <c r="D867" s="908"/>
      <c r="E867" s="908"/>
      <c r="F867" s="908"/>
      <c r="G867" s="908"/>
      <c r="H867" s="908"/>
      <c r="I867" s="908"/>
      <c r="J867" s="1016"/>
      <c r="K867" s="900"/>
      <c r="L867" s="900"/>
    </row>
    <row r="868" spans="1:12" ht="15.75" customHeight="1">
      <c r="A868" s="908"/>
      <c r="B868" s="908"/>
      <c r="C868" s="908"/>
      <c r="D868" s="908"/>
      <c r="E868" s="908"/>
      <c r="F868" s="908"/>
      <c r="G868" s="908"/>
      <c r="H868" s="908"/>
      <c r="I868" s="908"/>
      <c r="J868" s="1016"/>
      <c r="K868" s="900"/>
      <c r="L868" s="900"/>
    </row>
    <row r="869" spans="1:12" ht="15.75" customHeight="1">
      <c r="A869" s="908"/>
      <c r="B869" s="908"/>
      <c r="C869" s="908"/>
      <c r="D869" s="908"/>
      <c r="E869" s="908"/>
      <c r="F869" s="908"/>
      <c r="G869" s="908"/>
      <c r="H869" s="908"/>
      <c r="I869" s="908"/>
      <c r="J869" s="1016"/>
      <c r="K869" s="900"/>
      <c r="L869" s="900"/>
    </row>
    <row r="870" spans="1:12" ht="15.75" customHeight="1">
      <c r="A870" s="908"/>
      <c r="B870" s="908"/>
      <c r="C870" s="908"/>
      <c r="D870" s="908"/>
      <c r="E870" s="908"/>
      <c r="F870" s="908"/>
      <c r="G870" s="908"/>
      <c r="H870" s="908"/>
      <c r="I870" s="908"/>
      <c r="J870" s="1016"/>
      <c r="K870" s="900"/>
      <c r="L870" s="900"/>
    </row>
    <row r="871" spans="1:12" ht="15.75" customHeight="1">
      <c r="A871" s="908"/>
      <c r="B871" s="908"/>
      <c r="C871" s="908"/>
      <c r="D871" s="908"/>
      <c r="E871" s="908"/>
      <c r="F871" s="908"/>
      <c r="G871" s="908"/>
      <c r="H871" s="908"/>
      <c r="I871" s="908"/>
      <c r="J871" s="1016"/>
      <c r="K871" s="900"/>
      <c r="L871" s="900"/>
    </row>
    <row r="872" spans="1:12" ht="15.75" customHeight="1">
      <c r="A872" s="908"/>
      <c r="B872" s="908"/>
      <c r="C872" s="908"/>
      <c r="D872" s="908"/>
      <c r="E872" s="908"/>
      <c r="F872" s="908"/>
      <c r="G872" s="908"/>
      <c r="H872" s="908"/>
      <c r="I872" s="908"/>
      <c r="J872" s="1016"/>
      <c r="K872" s="900"/>
      <c r="L872" s="900"/>
    </row>
    <row r="873" spans="1:12" ht="15.75" customHeight="1">
      <c r="A873" s="908"/>
      <c r="B873" s="908"/>
      <c r="C873" s="908"/>
      <c r="D873" s="908"/>
      <c r="E873" s="908"/>
      <c r="F873" s="908"/>
      <c r="G873" s="908"/>
      <c r="H873" s="908"/>
      <c r="I873" s="908"/>
      <c r="J873" s="1016"/>
      <c r="K873" s="900"/>
      <c r="L873" s="900"/>
    </row>
    <row r="874" spans="1:12" ht="15.75" customHeight="1">
      <c r="A874" s="908"/>
      <c r="B874" s="908"/>
      <c r="C874" s="908"/>
      <c r="D874" s="908"/>
      <c r="E874" s="908"/>
      <c r="F874" s="908"/>
      <c r="G874" s="908"/>
      <c r="H874" s="908"/>
      <c r="I874" s="908"/>
      <c r="J874" s="1016"/>
      <c r="K874" s="900"/>
      <c r="L874" s="900"/>
    </row>
    <row r="875" spans="1:12" ht="15.75" customHeight="1">
      <c r="A875" s="908"/>
      <c r="B875" s="908"/>
      <c r="C875" s="908"/>
      <c r="D875" s="908"/>
      <c r="E875" s="908"/>
      <c r="F875" s="908"/>
      <c r="G875" s="908"/>
      <c r="H875" s="908"/>
      <c r="I875" s="908"/>
      <c r="J875" s="1016"/>
      <c r="K875" s="900"/>
      <c r="L875" s="900"/>
    </row>
    <row r="876" spans="1:12" ht="15.75" customHeight="1">
      <c r="A876" s="908"/>
      <c r="B876" s="908"/>
      <c r="C876" s="908"/>
      <c r="D876" s="908"/>
      <c r="E876" s="908"/>
      <c r="F876" s="908"/>
      <c r="G876" s="908"/>
      <c r="H876" s="908"/>
      <c r="I876" s="908"/>
      <c r="J876" s="1016"/>
      <c r="K876" s="900"/>
      <c r="L876" s="900"/>
    </row>
    <row r="877" spans="1:12" ht="15.75" customHeight="1">
      <c r="A877" s="908"/>
      <c r="B877" s="908"/>
      <c r="C877" s="908"/>
      <c r="D877" s="908"/>
      <c r="E877" s="908"/>
      <c r="F877" s="908"/>
      <c r="G877" s="908"/>
      <c r="H877" s="908"/>
      <c r="I877" s="908"/>
      <c r="J877" s="1016"/>
      <c r="K877" s="900"/>
      <c r="L877" s="900"/>
    </row>
    <row r="878" spans="1:12" ht="15.75" customHeight="1">
      <c r="A878" s="908"/>
      <c r="B878" s="908"/>
      <c r="C878" s="908"/>
      <c r="D878" s="908"/>
      <c r="E878" s="908"/>
      <c r="F878" s="908"/>
      <c r="G878" s="908"/>
      <c r="H878" s="908"/>
      <c r="I878" s="908"/>
      <c r="J878" s="1016"/>
      <c r="K878" s="900"/>
      <c r="L878" s="900"/>
    </row>
    <row r="879" spans="1:12" ht="15.75" customHeight="1">
      <c r="A879" s="908"/>
      <c r="B879" s="908"/>
      <c r="C879" s="908"/>
      <c r="D879" s="908"/>
      <c r="E879" s="908"/>
      <c r="F879" s="908"/>
      <c r="G879" s="908"/>
      <c r="H879" s="908"/>
      <c r="I879" s="908"/>
      <c r="J879" s="1016"/>
      <c r="K879" s="900"/>
      <c r="L879" s="900"/>
    </row>
    <row r="880" spans="1:12" ht="15.75" customHeight="1">
      <c r="A880" s="908"/>
      <c r="B880" s="908"/>
      <c r="C880" s="908"/>
      <c r="D880" s="908"/>
      <c r="E880" s="908"/>
      <c r="F880" s="908"/>
      <c r="G880" s="908"/>
      <c r="H880" s="908"/>
      <c r="I880" s="908"/>
      <c r="J880" s="1016"/>
      <c r="K880" s="900"/>
      <c r="L880" s="900"/>
    </row>
    <row r="881" spans="1:12" ht="15.75" customHeight="1">
      <c r="A881" s="908"/>
      <c r="B881" s="908"/>
      <c r="C881" s="908"/>
      <c r="D881" s="908"/>
      <c r="E881" s="908"/>
      <c r="F881" s="908"/>
      <c r="G881" s="908"/>
      <c r="H881" s="908"/>
      <c r="I881" s="908"/>
      <c r="J881" s="1016"/>
      <c r="K881" s="900"/>
      <c r="L881" s="900"/>
    </row>
    <row r="882" spans="1:12" ht="15.75" customHeight="1">
      <c r="A882" s="908"/>
      <c r="B882" s="908"/>
      <c r="C882" s="908"/>
      <c r="D882" s="908"/>
      <c r="E882" s="908"/>
      <c r="F882" s="908"/>
      <c r="G882" s="908"/>
      <c r="H882" s="908"/>
      <c r="I882" s="908"/>
      <c r="J882" s="1016"/>
      <c r="K882" s="900"/>
      <c r="L882" s="900"/>
    </row>
    <row r="883" spans="1:12" ht="15.75" customHeight="1">
      <c r="A883" s="908"/>
      <c r="B883" s="908"/>
      <c r="C883" s="908"/>
      <c r="D883" s="908"/>
      <c r="E883" s="908"/>
      <c r="F883" s="908"/>
      <c r="G883" s="908"/>
      <c r="H883" s="908"/>
      <c r="I883" s="908"/>
      <c r="J883" s="1016"/>
      <c r="K883" s="900"/>
      <c r="L883" s="900"/>
    </row>
    <row r="884" spans="1:12" ht="15.75" customHeight="1">
      <c r="A884" s="908"/>
      <c r="B884" s="908"/>
      <c r="C884" s="908"/>
      <c r="D884" s="908"/>
      <c r="E884" s="908"/>
      <c r="F884" s="908"/>
      <c r="G884" s="908"/>
      <c r="H884" s="908"/>
      <c r="I884" s="908"/>
      <c r="J884" s="1016"/>
      <c r="K884" s="900"/>
      <c r="L884" s="900"/>
    </row>
    <row r="885" spans="1:12" ht="15.75" customHeight="1">
      <c r="A885" s="908"/>
      <c r="B885" s="908"/>
      <c r="C885" s="908"/>
      <c r="D885" s="908"/>
      <c r="E885" s="908"/>
      <c r="F885" s="908"/>
      <c r="G885" s="908"/>
      <c r="H885" s="908"/>
      <c r="I885" s="908"/>
      <c r="J885" s="1016"/>
      <c r="K885" s="900"/>
      <c r="L885" s="900"/>
    </row>
    <row r="886" spans="1:12" ht="15.75" customHeight="1">
      <c r="A886" s="908"/>
      <c r="B886" s="908"/>
      <c r="C886" s="908"/>
      <c r="D886" s="908"/>
      <c r="E886" s="908"/>
      <c r="F886" s="908"/>
      <c r="G886" s="908"/>
      <c r="H886" s="908"/>
      <c r="I886" s="908"/>
      <c r="J886" s="1016"/>
      <c r="K886" s="900"/>
      <c r="L886" s="900"/>
    </row>
    <row r="887" spans="1:12" ht="15.75" customHeight="1">
      <c r="A887" s="908"/>
      <c r="B887" s="908"/>
      <c r="C887" s="908"/>
      <c r="D887" s="908"/>
      <c r="E887" s="908"/>
      <c r="F887" s="908"/>
      <c r="G887" s="908"/>
      <c r="H887" s="908"/>
      <c r="I887" s="908"/>
      <c r="J887" s="1016"/>
      <c r="K887" s="900"/>
      <c r="L887" s="900"/>
    </row>
    <row r="888" spans="1:12" ht="15.75" customHeight="1">
      <c r="A888" s="908"/>
      <c r="B888" s="908"/>
      <c r="C888" s="908"/>
      <c r="D888" s="908"/>
      <c r="E888" s="908"/>
      <c r="F888" s="908"/>
      <c r="G888" s="908"/>
      <c r="H888" s="908"/>
      <c r="I888" s="908"/>
      <c r="J888" s="1016"/>
      <c r="K888" s="900"/>
      <c r="L888" s="900"/>
    </row>
    <row r="889" spans="1:12" ht="15.75" customHeight="1">
      <c r="A889" s="908"/>
      <c r="B889" s="908"/>
      <c r="C889" s="908"/>
      <c r="D889" s="908"/>
      <c r="E889" s="908"/>
      <c r="F889" s="908"/>
      <c r="G889" s="908"/>
      <c r="H889" s="908"/>
      <c r="I889" s="908"/>
      <c r="J889" s="1016"/>
      <c r="K889" s="900"/>
      <c r="L889" s="900"/>
    </row>
    <row r="890" spans="1:12" ht="15.75" customHeight="1">
      <c r="A890" s="908"/>
      <c r="B890" s="908"/>
      <c r="C890" s="908"/>
      <c r="D890" s="908"/>
      <c r="E890" s="908"/>
      <c r="F890" s="908"/>
      <c r="G890" s="908"/>
      <c r="H890" s="908"/>
      <c r="I890" s="908"/>
      <c r="J890" s="1016"/>
      <c r="K890" s="900"/>
      <c r="L890" s="900"/>
    </row>
    <row r="891" spans="1:12" ht="15.75" customHeight="1">
      <c r="A891" s="908"/>
      <c r="B891" s="908"/>
      <c r="C891" s="908"/>
      <c r="D891" s="908"/>
      <c r="E891" s="908"/>
      <c r="F891" s="908"/>
      <c r="G891" s="908"/>
      <c r="H891" s="908"/>
      <c r="I891" s="908"/>
      <c r="J891" s="1016"/>
      <c r="K891" s="900"/>
      <c r="L891" s="900"/>
    </row>
    <row r="892" spans="1:12" ht="15.75" customHeight="1">
      <c r="A892" s="908"/>
      <c r="B892" s="908"/>
      <c r="C892" s="908"/>
      <c r="D892" s="908"/>
      <c r="E892" s="908"/>
      <c r="F892" s="908"/>
      <c r="G892" s="908"/>
      <c r="H892" s="908"/>
      <c r="I892" s="908"/>
      <c r="J892" s="1016"/>
      <c r="K892" s="900"/>
      <c r="L892" s="900"/>
    </row>
    <row r="893" spans="1:12" ht="15.75" customHeight="1">
      <c r="A893" s="908"/>
      <c r="B893" s="908"/>
      <c r="C893" s="908"/>
      <c r="D893" s="908"/>
      <c r="E893" s="908"/>
      <c r="F893" s="908"/>
      <c r="G893" s="908"/>
      <c r="H893" s="908"/>
      <c r="I893" s="908"/>
      <c r="J893" s="1016"/>
      <c r="K893" s="900"/>
      <c r="L893" s="900"/>
    </row>
    <row r="894" spans="1:12" ht="15.75" customHeight="1">
      <c r="A894" s="908"/>
      <c r="B894" s="908"/>
      <c r="C894" s="908"/>
      <c r="D894" s="908"/>
      <c r="E894" s="908"/>
      <c r="F894" s="908"/>
      <c r="G894" s="908"/>
      <c r="H894" s="908"/>
      <c r="I894" s="908"/>
      <c r="J894" s="1016"/>
      <c r="K894" s="900"/>
      <c r="L894" s="900"/>
    </row>
    <row r="895" spans="1:12" ht="15.75" customHeight="1">
      <c r="A895" s="908"/>
      <c r="B895" s="908"/>
      <c r="C895" s="908"/>
      <c r="D895" s="908"/>
      <c r="E895" s="908"/>
      <c r="F895" s="908"/>
      <c r="G895" s="908"/>
      <c r="H895" s="908"/>
      <c r="I895" s="908"/>
      <c r="J895" s="1016"/>
      <c r="K895" s="900"/>
      <c r="L895" s="900"/>
    </row>
    <row r="896" spans="1:12" ht="15.75" customHeight="1">
      <c r="A896" s="908"/>
      <c r="B896" s="908"/>
      <c r="C896" s="908"/>
      <c r="D896" s="908"/>
      <c r="E896" s="908"/>
      <c r="F896" s="908"/>
      <c r="G896" s="908"/>
      <c r="H896" s="908"/>
      <c r="I896" s="908"/>
      <c r="J896" s="1016"/>
      <c r="K896" s="900"/>
      <c r="L896" s="900"/>
    </row>
    <row r="897" spans="1:12" ht="15.75" customHeight="1">
      <c r="A897" s="908"/>
      <c r="B897" s="908"/>
      <c r="C897" s="908"/>
      <c r="D897" s="908"/>
      <c r="E897" s="908"/>
      <c r="F897" s="908"/>
      <c r="G897" s="908"/>
      <c r="H897" s="908"/>
      <c r="I897" s="908"/>
      <c r="J897" s="1016"/>
      <c r="K897" s="900"/>
      <c r="L897" s="900"/>
    </row>
    <row r="898" spans="1:12" ht="15.75" customHeight="1">
      <c r="A898" s="908"/>
      <c r="B898" s="908"/>
      <c r="C898" s="908"/>
      <c r="D898" s="908"/>
      <c r="E898" s="908"/>
      <c r="F898" s="908"/>
      <c r="G898" s="908"/>
      <c r="H898" s="908"/>
      <c r="I898" s="908"/>
      <c r="J898" s="1016"/>
      <c r="K898" s="900"/>
      <c r="L898" s="900"/>
    </row>
    <row r="899" spans="1:12" ht="15.75" customHeight="1">
      <c r="A899" s="908"/>
      <c r="B899" s="908"/>
      <c r="C899" s="908"/>
      <c r="D899" s="908"/>
      <c r="E899" s="908"/>
      <c r="F899" s="908"/>
      <c r="G899" s="908"/>
      <c r="H899" s="908"/>
      <c r="I899" s="908"/>
      <c r="J899" s="1016"/>
      <c r="K899" s="900"/>
      <c r="L899" s="900"/>
    </row>
    <row r="900" spans="1:12" ht="15.75" customHeight="1">
      <c r="A900" s="908"/>
      <c r="B900" s="908"/>
      <c r="C900" s="908"/>
      <c r="D900" s="908"/>
      <c r="E900" s="908"/>
      <c r="F900" s="908"/>
      <c r="G900" s="908"/>
      <c r="H900" s="908"/>
      <c r="I900" s="908"/>
      <c r="J900" s="1016"/>
      <c r="K900" s="900"/>
      <c r="L900" s="900"/>
    </row>
    <row r="901" spans="1:12" ht="15.75" customHeight="1">
      <c r="A901" s="908"/>
      <c r="B901" s="908"/>
      <c r="C901" s="908"/>
      <c r="D901" s="908"/>
      <c r="E901" s="908"/>
      <c r="F901" s="908"/>
      <c r="G901" s="908"/>
      <c r="H901" s="908"/>
      <c r="I901" s="908"/>
      <c r="J901" s="1016"/>
      <c r="K901" s="900"/>
      <c r="L901" s="900"/>
    </row>
    <row r="902" spans="1:12" ht="15.75" customHeight="1">
      <c r="A902" s="908"/>
      <c r="B902" s="908"/>
      <c r="C902" s="908"/>
      <c r="D902" s="908"/>
      <c r="E902" s="908"/>
      <c r="F902" s="908"/>
      <c r="G902" s="908"/>
      <c r="H902" s="908"/>
      <c r="I902" s="908"/>
      <c r="J902" s="1016"/>
      <c r="K902" s="900"/>
      <c r="L902" s="900"/>
    </row>
    <row r="903" spans="1:12" ht="15.75" customHeight="1">
      <c r="A903" s="908"/>
      <c r="B903" s="908"/>
      <c r="C903" s="908"/>
      <c r="D903" s="908"/>
      <c r="E903" s="908"/>
      <c r="F903" s="908"/>
      <c r="G903" s="908"/>
      <c r="H903" s="908"/>
      <c r="I903" s="908"/>
      <c r="J903" s="1016"/>
      <c r="K903" s="900"/>
      <c r="L903" s="900"/>
    </row>
    <row r="904" spans="1:12" ht="15.75" customHeight="1">
      <c r="A904" s="908"/>
      <c r="B904" s="908"/>
      <c r="C904" s="908"/>
      <c r="D904" s="908"/>
      <c r="E904" s="908"/>
      <c r="F904" s="908"/>
      <c r="G904" s="908"/>
      <c r="H904" s="908"/>
      <c r="I904" s="908"/>
      <c r="J904" s="1016"/>
      <c r="K904" s="900"/>
      <c r="L904" s="900"/>
    </row>
    <row r="905" spans="1:12" ht="15.75" customHeight="1">
      <c r="A905" s="908"/>
      <c r="B905" s="908"/>
      <c r="C905" s="908"/>
      <c r="D905" s="908"/>
      <c r="E905" s="908"/>
      <c r="F905" s="908"/>
      <c r="G905" s="908"/>
      <c r="H905" s="908"/>
      <c r="I905" s="908"/>
      <c r="J905" s="1016"/>
      <c r="K905" s="900"/>
      <c r="L905" s="900"/>
    </row>
    <row r="906" spans="1:12" ht="15.75" customHeight="1">
      <c r="A906" s="908"/>
      <c r="B906" s="908"/>
      <c r="C906" s="908"/>
      <c r="D906" s="908"/>
      <c r="E906" s="908"/>
      <c r="F906" s="908"/>
      <c r="G906" s="908"/>
      <c r="H906" s="908"/>
      <c r="I906" s="908"/>
      <c r="J906" s="1016"/>
      <c r="K906" s="900"/>
      <c r="L906" s="900"/>
    </row>
    <row r="907" spans="1:12" ht="15.75" customHeight="1">
      <c r="A907" s="908"/>
      <c r="B907" s="908"/>
      <c r="C907" s="908"/>
      <c r="D907" s="908"/>
      <c r="E907" s="908"/>
      <c r="F907" s="908"/>
      <c r="G907" s="908"/>
      <c r="H907" s="908"/>
      <c r="I907" s="908"/>
      <c r="J907" s="1016"/>
      <c r="K907" s="900"/>
      <c r="L907" s="900"/>
    </row>
    <row r="908" spans="1:12" ht="15.75" customHeight="1">
      <c r="A908" s="908"/>
      <c r="B908" s="908"/>
      <c r="C908" s="908"/>
      <c r="D908" s="908"/>
      <c r="E908" s="908"/>
      <c r="F908" s="908"/>
      <c r="G908" s="908"/>
      <c r="H908" s="908"/>
      <c r="I908" s="908"/>
      <c r="J908" s="1016"/>
      <c r="K908" s="900"/>
      <c r="L908" s="900"/>
    </row>
    <row r="909" spans="1:12" ht="15.75" customHeight="1">
      <c r="A909" s="908"/>
      <c r="B909" s="908"/>
      <c r="C909" s="908"/>
      <c r="D909" s="908"/>
      <c r="E909" s="908"/>
      <c r="F909" s="908"/>
      <c r="G909" s="908"/>
      <c r="H909" s="908"/>
      <c r="I909" s="908"/>
      <c r="J909" s="1016"/>
      <c r="K909" s="900"/>
      <c r="L909" s="900"/>
    </row>
    <row r="910" spans="1:12" ht="15.75" customHeight="1">
      <c r="A910" s="908"/>
      <c r="B910" s="908"/>
      <c r="C910" s="908"/>
      <c r="D910" s="908"/>
      <c r="E910" s="908"/>
      <c r="F910" s="908"/>
      <c r="G910" s="908"/>
      <c r="H910" s="908"/>
      <c r="I910" s="908"/>
      <c r="J910" s="1016"/>
      <c r="K910" s="900"/>
      <c r="L910" s="900"/>
    </row>
    <row r="911" spans="1:12" ht="15.75" customHeight="1">
      <c r="A911" s="908"/>
      <c r="B911" s="908"/>
      <c r="C911" s="908"/>
      <c r="D911" s="908"/>
      <c r="E911" s="908"/>
      <c r="F911" s="908"/>
      <c r="G911" s="908"/>
      <c r="H911" s="908"/>
      <c r="I911" s="908"/>
      <c r="J911" s="1016"/>
      <c r="K911" s="900"/>
      <c r="L911" s="900"/>
    </row>
    <row r="912" spans="1:12" ht="15.75" customHeight="1">
      <c r="A912" s="908"/>
      <c r="B912" s="908"/>
      <c r="C912" s="908"/>
      <c r="D912" s="908"/>
      <c r="E912" s="908"/>
      <c r="F912" s="908"/>
      <c r="G912" s="908"/>
      <c r="H912" s="908"/>
      <c r="I912" s="908"/>
      <c r="J912" s="1016"/>
      <c r="K912" s="900"/>
      <c r="L912" s="900"/>
    </row>
    <row r="913" spans="1:12" ht="15.75" customHeight="1">
      <c r="A913" s="908"/>
      <c r="B913" s="908"/>
      <c r="C913" s="908"/>
      <c r="D913" s="908"/>
      <c r="E913" s="908"/>
      <c r="F913" s="908"/>
      <c r="G913" s="908"/>
      <c r="H913" s="908"/>
      <c r="I913" s="908"/>
      <c r="J913" s="1016"/>
      <c r="K913" s="900"/>
      <c r="L913" s="900"/>
    </row>
    <row r="914" spans="1:12" ht="15.75" customHeight="1">
      <c r="A914" s="908"/>
      <c r="B914" s="908"/>
      <c r="C914" s="908"/>
      <c r="D914" s="908"/>
      <c r="E914" s="908"/>
      <c r="F914" s="908"/>
      <c r="G914" s="908"/>
      <c r="H914" s="908"/>
      <c r="I914" s="908"/>
      <c r="J914" s="1016"/>
      <c r="K914" s="900"/>
      <c r="L914" s="900"/>
    </row>
    <row r="915" spans="1:12" ht="15.75" customHeight="1">
      <c r="A915" s="908"/>
      <c r="B915" s="908"/>
      <c r="C915" s="908"/>
      <c r="D915" s="908"/>
      <c r="E915" s="908"/>
      <c r="F915" s="908"/>
      <c r="G915" s="908"/>
      <c r="H915" s="908"/>
      <c r="I915" s="908"/>
      <c r="J915" s="1016"/>
      <c r="K915" s="900"/>
      <c r="L915" s="900"/>
    </row>
    <row r="916" spans="1:12" ht="15.75" customHeight="1">
      <c r="A916" s="908"/>
      <c r="B916" s="908"/>
      <c r="C916" s="908"/>
      <c r="D916" s="908"/>
      <c r="E916" s="908"/>
      <c r="F916" s="908"/>
      <c r="G916" s="908"/>
      <c r="H916" s="908"/>
      <c r="I916" s="908"/>
      <c r="J916" s="1016"/>
      <c r="K916" s="900"/>
      <c r="L916" s="900"/>
    </row>
    <row r="917" spans="1:12" ht="15.75" customHeight="1">
      <c r="A917" s="908"/>
      <c r="B917" s="908"/>
      <c r="C917" s="908"/>
      <c r="D917" s="908"/>
      <c r="E917" s="908"/>
      <c r="F917" s="908"/>
      <c r="G917" s="908"/>
      <c r="H917" s="908"/>
      <c r="I917" s="908"/>
      <c r="J917" s="1016"/>
      <c r="K917" s="900"/>
      <c r="L917" s="900"/>
    </row>
    <row r="918" spans="1:12" ht="15.75" customHeight="1">
      <c r="A918" s="908"/>
      <c r="B918" s="908"/>
      <c r="C918" s="908"/>
      <c r="D918" s="908"/>
      <c r="E918" s="908"/>
      <c r="F918" s="908"/>
      <c r="G918" s="908"/>
      <c r="H918" s="908"/>
      <c r="I918" s="908"/>
      <c r="J918" s="1016"/>
      <c r="K918" s="900"/>
      <c r="L918" s="900"/>
    </row>
    <row r="919" spans="1:12" ht="15.75" customHeight="1">
      <c r="A919" s="908"/>
      <c r="B919" s="908"/>
      <c r="C919" s="908"/>
      <c r="D919" s="908"/>
      <c r="E919" s="908"/>
      <c r="F919" s="908"/>
      <c r="G919" s="908"/>
      <c r="H919" s="908"/>
      <c r="I919" s="908"/>
      <c r="J919" s="1016"/>
      <c r="K919" s="900"/>
      <c r="L919" s="900"/>
    </row>
    <row r="920" spans="1:12" ht="15.75" customHeight="1">
      <c r="A920" s="908"/>
      <c r="B920" s="908"/>
      <c r="C920" s="908"/>
      <c r="D920" s="908"/>
      <c r="E920" s="908"/>
      <c r="F920" s="908"/>
      <c r="G920" s="908"/>
      <c r="H920" s="908"/>
      <c r="I920" s="908"/>
      <c r="J920" s="1016"/>
      <c r="K920" s="900"/>
      <c r="L920" s="900"/>
    </row>
    <row r="921" spans="1:12" ht="15.75" customHeight="1">
      <c r="A921" s="908"/>
      <c r="B921" s="908"/>
      <c r="C921" s="908"/>
      <c r="D921" s="908"/>
      <c r="E921" s="908"/>
      <c r="F921" s="908"/>
      <c r="G921" s="908"/>
      <c r="H921" s="908"/>
      <c r="I921" s="908"/>
      <c r="J921" s="1016"/>
      <c r="K921" s="900"/>
      <c r="L921" s="900"/>
    </row>
    <row r="922" spans="1:12" ht="15.75" customHeight="1">
      <c r="A922" s="908"/>
      <c r="B922" s="908"/>
      <c r="C922" s="908"/>
      <c r="D922" s="908"/>
      <c r="E922" s="908"/>
      <c r="F922" s="908"/>
      <c r="G922" s="908"/>
      <c r="H922" s="908"/>
      <c r="I922" s="908"/>
      <c r="J922" s="1016"/>
      <c r="K922" s="900"/>
      <c r="L922" s="900"/>
    </row>
    <row r="923" spans="1:12" ht="15.75" customHeight="1">
      <c r="A923" s="908"/>
      <c r="B923" s="908"/>
      <c r="C923" s="908"/>
      <c r="D923" s="908"/>
      <c r="E923" s="908"/>
      <c r="F923" s="908"/>
      <c r="G923" s="908"/>
      <c r="H923" s="908"/>
      <c r="I923" s="908"/>
      <c r="J923" s="1016"/>
      <c r="K923" s="900"/>
      <c r="L923" s="900"/>
    </row>
    <row r="924" spans="1:12" ht="15.75" customHeight="1">
      <c r="A924" s="908"/>
      <c r="B924" s="908"/>
      <c r="C924" s="908"/>
      <c r="D924" s="908"/>
      <c r="E924" s="908"/>
      <c r="F924" s="908"/>
      <c r="G924" s="908"/>
      <c r="H924" s="908"/>
      <c r="I924" s="908"/>
      <c r="J924" s="1016"/>
      <c r="K924" s="900"/>
      <c r="L924" s="900"/>
    </row>
    <row r="925" spans="1:12" ht="15.75" customHeight="1">
      <c r="A925" s="908"/>
      <c r="B925" s="908"/>
      <c r="C925" s="908"/>
      <c r="D925" s="908"/>
      <c r="E925" s="908"/>
      <c r="F925" s="908"/>
      <c r="G925" s="908"/>
      <c r="H925" s="908"/>
      <c r="I925" s="908"/>
      <c r="J925" s="1016"/>
      <c r="K925" s="900"/>
      <c r="L925" s="900"/>
    </row>
    <row r="926" spans="1:12" ht="15.75" customHeight="1">
      <c r="A926" s="908"/>
      <c r="B926" s="908"/>
      <c r="C926" s="908"/>
      <c r="D926" s="908"/>
      <c r="E926" s="908"/>
      <c r="F926" s="908"/>
      <c r="G926" s="908"/>
      <c r="H926" s="908"/>
      <c r="I926" s="908"/>
      <c r="J926" s="1016"/>
      <c r="K926" s="900"/>
      <c r="L926" s="900"/>
    </row>
    <row r="927" spans="1:12" ht="15.75" customHeight="1">
      <c r="A927" s="908"/>
      <c r="B927" s="908"/>
      <c r="C927" s="908"/>
      <c r="D927" s="908"/>
      <c r="E927" s="908"/>
      <c r="F927" s="908"/>
      <c r="G927" s="908"/>
      <c r="H927" s="908"/>
      <c r="I927" s="908"/>
      <c r="J927" s="1016"/>
      <c r="K927" s="900"/>
      <c r="L927" s="900"/>
    </row>
    <row r="928" spans="1:12" ht="15.75" customHeight="1">
      <c r="A928" s="908"/>
      <c r="B928" s="908"/>
      <c r="C928" s="908"/>
      <c r="D928" s="908"/>
      <c r="E928" s="908"/>
      <c r="F928" s="908"/>
      <c r="G928" s="908"/>
      <c r="H928" s="908"/>
      <c r="I928" s="908"/>
      <c r="J928" s="1016"/>
      <c r="K928" s="900"/>
      <c r="L928" s="900"/>
    </row>
    <row r="929" spans="1:12" ht="15.75" customHeight="1">
      <c r="A929" s="908"/>
      <c r="B929" s="908"/>
      <c r="C929" s="908"/>
      <c r="D929" s="908"/>
      <c r="E929" s="908"/>
      <c r="F929" s="908"/>
      <c r="G929" s="908"/>
      <c r="H929" s="908"/>
      <c r="I929" s="908"/>
      <c r="J929" s="1016"/>
      <c r="K929" s="900"/>
      <c r="L929" s="900"/>
    </row>
    <row r="930" spans="1:12" ht="15.75" customHeight="1">
      <c r="A930" s="908"/>
      <c r="B930" s="908"/>
      <c r="C930" s="908"/>
      <c r="D930" s="908"/>
      <c r="E930" s="908"/>
      <c r="F930" s="908"/>
      <c r="G930" s="908"/>
      <c r="H930" s="908"/>
      <c r="I930" s="908"/>
      <c r="J930" s="1016"/>
      <c r="K930" s="900"/>
      <c r="L930" s="900"/>
    </row>
    <row r="931" spans="1:12" ht="15.75" customHeight="1">
      <c r="A931" s="908"/>
      <c r="B931" s="908"/>
      <c r="C931" s="908"/>
      <c r="D931" s="908"/>
      <c r="E931" s="908"/>
      <c r="F931" s="908"/>
      <c r="G931" s="908"/>
      <c r="H931" s="908"/>
      <c r="I931" s="908"/>
      <c r="J931" s="1016"/>
      <c r="K931" s="900"/>
      <c r="L931" s="900"/>
    </row>
    <row r="932" spans="1:12" ht="15.75" customHeight="1">
      <c r="A932" s="908"/>
      <c r="B932" s="908"/>
      <c r="C932" s="908"/>
      <c r="D932" s="908"/>
      <c r="E932" s="908"/>
      <c r="F932" s="908"/>
      <c r="G932" s="908"/>
      <c r="H932" s="908"/>
      <c r="I932" s="908"/>
      <c r="J932" s="1016"/>
      <c r="K932" s="900"/>
      <c r="L932" s="900"/>
    </row>
    <row r="933" spans="1:12" ht="15.75" customHeight="1">
      <c r="A933" s="908"/>
      <c r="B933" s="908"/>
      <c r="C933" s="908"/>
      <c r="D933" s="908"/>
      <c r="E933" s="908"/>
      <c r="F933" s="908"/>
      <c r="G933" s="908"/>
      <c r="H933" s="908"/>
      <c r="I933" s="908"/>
      <c r="J933" s="1016"/>
      <c r="K933" s="900"/>
      <c r="L933" s="900"/>
    </row>
    <row r="934" spans="1:12" ht="15.75" customHeight="1">
      <c r="A934" s="908"/>
      <c r="B934" s="908"/>
      <c r="C934" s="908"/>
      <c r="D934" s="908"/>
      <c r="E934" s="908"/>
      <c r="F934" s="908"/>
      <c r="G934" s="908"/>
      <c r="H934" s="908"/>
      <c r="I934" s="908"/>
      <c r="J934" s="1016"/>
      <c r="K934" s="900"/>
      <c r="L934" s="900"/>
    </row>
    <row r="935" spans="1:12" ht="15.75" customHeight="1">
      <c r="A935" s="908"/>
      <c r="B935" s="908"/>
      <c r="C935" s="908"/>
      <c r="D935" s="908"/>
      <c r="E935" s="908"/>
      <c r="F935" s="908"/>
      <c r="G935" s="908"/>
      <c r="H935" s="908"/>
      <c r="I935" s="908"/>
      <c r="J935" s="1016"/>
      <c r="K935" s="900"/>
      <c r="L935" s="900"/>
    </row>
    <row r="936" spans="1:12" ht="15.75" customHeight="1">
      <c r="A936" s="908"/>
      <c r="B936" s="908"/>
      <c r="C936" s="908"/>
      <c r="D936" s="908"/>
      <c r="E936" s="908"/>
      <c r="F936" s="908"/>
      <c r="G936" s="908"/>
      <c r="H936" s="908"/>
      <c r="I936" s="908"/>
      <c r="J936" s="1016"/>
      <c r="K936" s="900"/>
      <c r="L936" s="900"/>
    </row>
    <row r="937" spans="1:12" ht="15.75" customHeight="1">
      <c r="A937" s="908"/>
      <c r="B937" s="908"/>
      <c r="C937" s="908"/>
      <c r="D937" s="908"/>
      <c r="E937" s="908"/>
      <c r="F937" s="908"/>
      <c r="G937" s="908"/>
      <c r="H937" s="908"/>
      <c r="I937" s="908"/>
      <c r="J937" s="1016"/>
      <c r="K937" s="900"/>
      <c r="L937" s="900"/>
    </row>
    <row r="938" spans="1:12" ht="15.75" customHeight="1">
      <c r="A938" s="908"/>
      <c r="B938" s="908"/>
      <c r="C938" s="908"/>
      <c r="D938" s="908"/>
      <c r="E938" s="908"/>
      <c r="F938" s="908"/>
      <c r="G938" s="908"/>
      <c r="H938" s="908"/>
      <c r="I938" s="908"/>
      <c r="J938" s="1016"/>
      <c r="K938" s="900"/>
      <c r="L938" s="900"/>
    </row>
    <row r="939" spans="1:12" ht="15.75" customHeight="1">
      <c r="A939" s="908"/>
      <c r="B939" s="908"/>
      <c r="C939" s="908"/>
      <c r="D939" s="908"/>
      <c r="E939" s="908"/>
      <c r="F939" s="908"/>
      <c r="G939" s="908"/>
      <c r="H939" s="908"/>
      <c r="I939" s="908"/>
      <c r="J939" s="1016"/>
      <c r="K939" s="900"/>
      <c r="L939" s="900"/>
    </row>
    <row r="940" spans="1:12" ht="15.75" customHeight="1">
      <c r="A940" s="908"/>
      <c r="B940" s="908"/>
      <c r="C940" s="908"/>
      <c r="D940" s="908"/>
      <c r="E940" s="908"/>
      <c r="F940" s="908"/>
      <c r="G940" s="908"/>
      <c r="H940" s="908"/>
      <c r="I940" s="908"/>
      <c r="J940" s="1016"/>
      <c r="K940" s="900"/>
      <c r="L940" s="900"/>
    </row>
    <row r="941" spans="1:12" ht="15.75" customHeight="1">
      <c r="A941" s="908"/>
      <c r="B941" s="908"/>
      <c r="C941" s="908"/>
      <c r="D941" s="908"/>
      <c r="E941" s="908"/>
      <c r="F941" s="908"/>
      <c r="G941" s="908"/>
      <c r="H941" s="908"/>
      <c r="I941" s="908"/>
      <c r="J941" s="1016"/>
      <c r="K941" s="900"/>
      <c r="L941" s="900"/>
    </row>
    <row r="942" spans="1:12" ht="15.75" customHeight="1">
      <c r="A942" s="908"/>
      <c r="B942" s="908"/>
      <c r="C942" s="908"/>
      <c r="D942" s="908"/>
      <c r="E942" s="908"/>
      <c r="F942" s="908"/>
      <c r="G942" s="908"/>
      <c r="H942" s="908"/>
      <c r="I942" s="908"/>
      <c r="J942" s="1016"/>
      <c r="K942" s="900"/>
      <c r="L942" s="900"/>
    </row>
    <row r="943" spans="1:12" ht="15.75" customHeight="1">
      <c r="A943" s="908"/>
      <c r="B943" s="908"/>
      <c r="C943" s="908"/>
      <c r="D943" s="908"/>
      <c r="E943" s="908"/>
      <c r="F943" s="908"/>
      <c r="G943" s="908"/>
      <c r="H943" s="908"/>
      <c r="I943" s="908"/>
      <c r="J943" s="1016"/>
      <c r="K943" s="900"/>
      <c r="L943" s="900"/>
    </row>
    <row r="944" spans="1:12" ht="15.75" customHeight="1">
      <c r="A944" s="908"/>
      <c r="B944" s="908"/>
      <c r="C944" s="908"/>
      <c r="D944" s="908"/>
      <c r="E944" s="908"/>
      <c r="F944" s="908"/>
      <c r="G944" s="908"/>
      <c r="H944" s="908"/>
      <c r="I944" s="908"/>
      <c r="J944" s="1016"/>
      <c r="K944" s="900"/>
      <c r="L944" s="900"/>
    </row>
    <row r="945" spans="1:12" ht="15.75" customHeight="1">
      <c r="A945" s="908"/>
      <c r="B945" s="908"/>
      <c r="C945" s="908"/>
      <c r="D945" s="908"/>
      <c r="E945" s="908"/>
      <c r="F945" s="908"/>
      <c r="G945" s="908"/>
      <c r="H945" s="908"/>
      <c r="I945" s="908"/>
      <c r="J945" s="1016"/>
      <c r="K945" s="900"/>
      <c r="L945" s="900"/>
    </row>
    <row r="946" spans="1:12" ht="15.75" customHeight="1">
      <c r="A946" s="908"/>
      <c r="B946" s="908"/>
      <c r="C946" s="908"/>
      <c r="D946" s="908"/>
      <c r="E946" s="908"/>
      <c r="F946" s="908"/>
      <c r="G946" s="908"/>
      <c r="H946" s="908"/>
      <c r="I946" s="908"/>
      <c r="J946" s="1016"/>
      <c r="K946" s="900"/>
      <c r="L946" s="900"/>
    </row>
    <row r="947" spans="1:12" ht="15.75" customHeight="1">
      <c r="A947" s="908"/>
      <c r="B947" s="908"/>
      <c r="C947" s="908"/>
      <c r="D947" s="908"/>
      <c r="E947" s="908"/>
      <c r="F947" s="908"/>
      <c r="G947" s="908"/>
      <c r="H947" s="908"/>
      <c r="I947" s="908"/>
      <c r="J947" s="1016"/>
      <c r="K947" s="900"/>
      <c r="L947" s="900"/>
    </row>
    <row r="948" spans="1:12" ht="15.75" customHeight="1">
      <c r="A948" s="908"/>
      <c r="B948" s="908"/>
      <c r="C948" s="908"/>
      <c r="D948" s="908"/>
      <c r="E948" s="908"/>
      <c r="F948" s="908"/>
      <c r="G948" s="908"/>
      <c r="H948" s="908"/>
      <c r="I948" s="908"/>
      <c r="J948" s="1016"/>
      <c r="K948" s="900"/>
      <c r="L948" s="900"/>
    </row>
    <row r="949" spans="1:12" ht="15.75" customHeight="1">
      <c r="A949" s="908"/>
      <c r="B949" s="908"/>
      <c r="C949" s="908"/>
      <c r="D949" s="908"/>
      <c r="E949" s="908"/>
      <c r="F949" s="908"/>
      <c r="G949" s="908"/>
      <c r="H949" s="908"/>
      <c r="I949" s="908"/>
      <c r="J949" s="1016"/>
      <c r="K949" s="900"/>
      <c r="L949" s="900"/>
    </row>
    <row r="950" spans="1:12" ht="15.75" customHeight="1">
      <c r="A950" s="908"/>
      <c r="B950" s="908"/>
      <c r="C950" s="908"/>
      <c r="D950" s="908"/>
      <c r="E950" s="908"/>
      <c r="F950" s="908"/>
      <c r="G950" s="908"/>
      <c r="H950" s="908"/>
      <c r="I950" s="908"/>
      <c r="J950" s="1016"/>
      <c r="K950" s="900"/>
      <c r="L950" s="900"/>
    </row>
    <row r="951" spans="1:12" ht="15.75" customHeight="1">
      <c r="A951" s="908"/>
      <c r="B951" s="908"/>
      <c r="C951" s="908"/>
      <c r="D951" s="908"/>
      <c r="E951" s="908"/>
      <c r="F951" s="908"/>
      <c r="G951" s="908"/>
      <c r="H951" s="908"/>
      <c r="I951" s="908"/>
      <c r="J951" s="1016"/>
      <c r="K951" s="900"/>
      <c r="L951" s="900"/>
    </row>
    <row r="952" spans="1:12" ht="15.75" customHeight="1">
      <c r="A952" s="908"/>
      <c r="B952" s="908"/>
      <c r="C952" s="908"/>
      <c r="D952" s="908"/>
      <c r="E952" s="908"/>
      <c r="F952" s="908"/>
      <c r="G952" s="908"/>
      <c r="H952" s="908"/>
      <c r="I952" s="908"/>
      <c r="J952" s="1016"/>
      <c r="K952" s="900"/>
      <c r="L952" s="900"/>
    </row>
    <row r="953" spans="1:12" ht="15.75" customHeight="1">
      <c r="A953" s="908"/>
      <c r="B953" s="908"/>
      <c r="C953" s="908"/>
      <c r="D953" s="908"/>
      <c r="E953" s="908"/>
      <c r="F953" s="908"/>
      <c r="G953" s="908"/>
      <c r="H953" s="908"/>
      <c r="I953" s="908"/>
      <c r="J953" s="1016"/>
      <c r="K953" s="900"/>
      <c r="L953" s="900"/>
    </row>
    <row r="954" spans="1:12" ht="15.75" customHeight="1">
      <c r="A954" s="908"/>
      <c r="B954" s="908"/>
      <c r="C954" s="908"/>
      <c r="D954" s="908"/>
      <c r="E954" s="908"/>
      <c r="F954" s="908"/>
      <c r="G954" s="908"/>
      <c r="H954" s="908"/>
      <c r="I954" s="908"/>
      <c r="J954" s="1016"/>
      <c r="K954" s="900"/>
      <c r="L954" s="900"/>
    </row>
    <row r="955" spans="1:12" ht="15.75" customHeight="1">
      <c r="A955" s="908"/>
      <c r="B955" s="908"/>
      <c r="C955" s="908"/>
      <c r="D955" s="908"/>
      <c r="E955" s="908"/>
      <c r="F955" s="908"/>
      <c r="G955" s="908"/>
      <c r="H955" s="908"/>
      <c r="I955" s="908"/>
      <c r="J955" s="1016"/>
      <c r="K955" s="900"/>
      <c r="L955" s="900"/>
    </row>
    <row r="956" spans="1:12" ht="15.75" customHeight="1">
      <c r="A956" s="908"/>
      <c r="B956" s="908"/>
      <c r="C956" s="908"/>
      <c r="D956" s="908"/>
      <c r="E956" s="908"/>
      <c r="F956" s="908"/>
      <c r="G956" s="908"/>
      <c r="H956" s="908"/>
      <c r="I956" s="908"/>
      <c r="J956" s="1016"/>
      <c r="K956" s="900"/>
      <c r="L956" s="900"/>
    </row>
    <row r="957" spans="1:12" ht="15.75" customHeight="1">
      <c r="A957" s="908"/>
      <c r="B957" s="908"/>
      <c r="C957" s="908"/>
      <c r="D957" s="908"/>
      <c r="E957" s="908"/>
      <c r="F957" s="908"/>
      <c r="G957" s="908"/>
      <c r="H957" s="908"/>
      <c r="I957" s="908"/>
      <c r="J957" s="1016"/>
      <c r="K957" s="900"/>
      <c r="L957" s="900"/>
    </row>
    <row r="958" spans="1:12" ht="15.75" customHeight="1">
      <c r="A958" s="908"/>
      <c r="B958" s="908"/>
      <c r="C958" s="908"/>
      <c r="D958" s="908"/>
      <c r="E958" s="908"/>
      <c r="F958" s="908"/>
      <c r="G958" s="908"/>
      <c r="H958" s="908"/>
      <c r="I958" s="908"/>
      <c r="J958" s="1016"/>
      <c r="K958" s="900"/>
      <c r="L958" s="900"/>
    </row>
    <row r="959" spans="1:12" ht="15.75" customHeight="1">
      <c r="A959" s="908"/>
      <c r="B959" s="908"/>
      <c r="C959" s="908"/>
      <c r="D959" s="908"/>
      <c r="E959" s="908"/>
      <c r="F959" s="908"/>
      <c r="G959" s="908"/>
      <c r="H959" s="908"/>
      <c r="I959" s="908"/>
      <c r="J959" s="1016"/>
      <c r="K959" s="900"/>
      <c r="L959" s="900"/>
    </row>
    <row r="960" spans="1:12" ht="15.75" customHeight="1">
      <c r="A960" s="908"/>
      <c r="B960" s="908"/>
      <c r="C960" s="908"/>
      <c r="D960" s="908"/>
      <c r="E960" s="908"/>
      <c r="F960" s="908"/>
      <c r="G960" s="908"/>
      <c r="H960" s="908"/>
      <c r="I960" s="908"/>
      <c r="J960" s="1016"/>
      <c r="K960" s="900"/>
      <c r="L960" s="900"/>
    </row>
    <row r="961" spans="1:12" ht="15.75" customHeight="1">
      <c r="A961" s="908"/>
      <c r="B961" s="908"/>
      <c r="C961" s="908"/>
      <c r="D961" s="908"/>
      <c r="E961" s="908"/>
      <c r="F961" s="908"/>
      <c r="G961" s="908"/>
      <c r="H961" s="908"/>
      <c r="I961" s="908"/>
      <c r="J961" s="1016"/>
      <c r="K961" s="900"/>
      <c r="L961" s="900"/>
    </row>
    <row r="962" spans="1:12" ht="15.75" customHeight="1">
      <c r="A962" s="908"/>
      <c r="B962" s="908"/>
      <c r="C962" s="908"/>
      <c r="D962" s="908"/>
      <c r="E962" s="908"/>
      <c r="F962" s="908"/>
      <c r="G962" s="908"/>
      <c r="H962" s="908"/>
      <c r="I962" s="908"/>
      <c r="J962" s="1016"/>
      <c r="K962" s="900"/>
      <c r="L962" s="900"/>
    </row>
    <row r="963" spans="1:12" ht="15.75" customHeight="1">
      <c r="A963" s="908"/>
      <c r="B963" s="908"/>
      <c r="C963" s="908"/>
      <c r="D963" s="908"/>
      <c r="E963" s="908"/>
      <c r="F963" s="908"/>
      <c r="G963" s="908"/>
      <c r="H963" s="908"/>
      <c r="I963" s="908"/>
      <c r="J963" s="1016"/>
      <c r="K963" s="900"/>
      <c r="L963" s="900"/>
    </row>
    <row r="964" spans="1:12" ht="15.75" customHeight="1">
      <c r="A964" s="908"/>
      <c r="B964" s="908"/>
      <c r="C964" s="908"/>
      <c r="D964" s="908"/>
      <c r="E964" s="908"/>
      <c r="F964" s="908"/>
      <c r="G964" s="908"/>
      <c r="H964" s="908"/>
      <c r="I964" s="908"/>
      <c r="J964" s="1016"/>
      <c r="K964" s="900"/>
      <c r="L964" s="900"/>
    </row>
    <row r="965" spans="1:12" ht="15.75" customHeight="1">
      <c r="A965" s="908"/>
      <c r="B965" s="908"/>
      <c r="C965" s="908"/>
      <c r="D965" s="908"/>
      <c r="E965" s="908"/>
      <c r="F965" s="908"/>
      <c r="G965" s="908"/>
      <c r="H965" s="908"/>
      <c r="I965" s="908"/>
      <c r="J965" s="1016"/>
      <c r="K965" s="900"/>
      <c r="L965" s="900"/>
    </row>
    <row r="966" spans="1:12" ht="15.75" customHeight="1">
      <c r="A966" s="908"/>
      <c r="B966" s="908"/>
      <c r="C966" s="908"/>
      <c r="D966" s="908"/>
      <c r="E966" s="908"/>
      <c r="F966" s="908"/>
      <c r="G966" s="908"/>
      <c r="H966" s="908"/>
      <c r="I966" s="908"/>
      <c r="J966" s="1016"/>
      <c r="K966" s="900"/>
      <c r="L966" s="900"/>
    </row>
    <row r="967" spans="1:12" ht="15.75" customHeight="1">
      <c r="A967" s="908"/>
      <c r="B967" s="908"/>
      <c r="C967" s="908"/>
      <c r="D967" s="908"/>
      <c r="E967" s="908"/>
      <c r="F967" s="908"/>
      <c r="G967" s="908"/>
      <c r="H967" s="908"/>
      <c r="I967" s="908"/>
      <c r="J967" s="1016"/>
      <c r="K967" s="900"/>
      <c r="L967" s="900"/>
    </row>
    <row r="968" spans="1:12" ht="15.75" customHeight="1">
      <c r="A968" s="908"/>
      <c r="B968" s="908"/>
      <c r="C968" s="908"/>
      <c r="D968" s="908"/>
      <c r="E968" s="908"/>
      <c r="F968" s="908"/>
      <c r="G968" s="908"/>
      <c r="H968" s="908"/>
      <c r="I968" s="908"/>
      <c r="J968" s="1016"/>
      <c r="K968" s="900"/>
      <c r="L968" s="900"/>
    </row>
    <row r="969" spans="1:12" ht="15.75" customHeight="1">
      <c r="A969" s="908"/>
      <c r="B969" s="908"/>
      <c r="C969" s="908"/>
      <c r="D969" s="908"/>
      <c r="E969" s="908"/>
      <c r="F969" s="908"/>
      <c r="G969" s="908"/>
      <c r="H969" s="908"/>
      <c r="I969" s="908"/>
      <c r="J969" s="1016"/>
      <c r="K969" s="900"/>
      <c r="L969" s="900"/>
    </row>
    <row r="970" spans="1:12" ht="15.75" customHeight="1">
      <c r="A970" s="908"/>
      <c r="B970" s="908"/>
      <c r="C970" s="908"/>
      <c r="D970" s="908"/>
      <c r="E970" s="908"/>
      <c r="F970" s="908"/>
      <c r="G970" s="908"/>
      <c r="H970" s="908"/>
      <c r="I970" s="908"/>
      <c r="J970" s="1016"/>
      <c r="K970" s="900"/>
      <c r="L970" s="900"/>
    </row>
    <row r="971" spans="1:12" ht="15.75" customHeight="1">
      <c r="A971" s="908"/>
      <c r="B971" s="908"/>
      <c r="C971" s="908"/>
      <c r="D971" s="908"/>
      <c r="E971" s="908"/>
      <c r="F971" s="908"/>
      <c r="G971" s="908"/>
      <c r="H971" s="908"/>
      <c r="I971" s="908"/>
      <c r="J971" s="1016"/>
      <c r="K971" s="900"/>
      <c r="L971" s="900"/>
    </row>
    <row r="972" spans="1:12" ht="15.75" customHeight="1">
      <c r="A972" s="908"/>
      <c r="B972" s="908"/>
      <c r="C972" s="908"/>
      <c r="D972" s="908"/>
      <c r="E972" s="908"/>
      <c r="F972" s="908"/>
      <c r="G972" s="908"/>
      <c r="H972" s="908"/>
      <c r="I972" s="908"/>
      <c r="J972" s="1016"/>
      <c r="K972" s="900"/>
      <c r="L972" s="900"/>
    </row>
    <row r="973" spans="1:12" ht="15.75" customHeight="1">
      <c r="A973" s="908"/>
      <c r="B973" s="908"/>
      <c r="C973" s="908"/>
      <c r="D973" s="908"/>
      <c r="E973" s="908"/>
      <c r="F973" s="908"/>
      <c r="G973" s="908"/>
      <c r="H973" s="908"/>
      <c r="I973" s="908"/>
      <c r="J973" s="1016"/>
      <c r="K973" s="900"/>
      <c r="L973" s="900"/>
    </row>
    <row r="974" spans="1:12" ht="15.75" customHeight="1">
      <c r="A974" s="908"/>
      <c r="B974" s="908"/>
      <c r="C974" s="908"/>
      <c r="D974" s="908"/>
      <c r="E974" s="908"/>
      <c r="F974" s="908"/>
      <c r="G974" s="908"/>
      <c r="H974" s="908"/>
      <c r="I974" s="908"/>
      <c r="J974" s="1016"/>
      <c r="K974" s="900"/>
      <c r="L974" s="900"/>
    </row>
    <row r="975" spans="1:12" ht="15.75" customHeight="1">
      <c r="A975" s="908"/>
      <c r="B975" s="908"/>
      <c r="C975" s="908"/>
      <c r="D975" s="908"/>
      <c r="E975" s="908"/>
      <c r="F975" s="908"/>
      <c r="G975" s="908"/>
      <c r="H975" s="908"/>
      <c r="I975" s="908"/>
      <c r="J975" s="1016"/>
      <c r="K975" s="900"/>
      <c r="L975" s="900"/>
    </row>
    <row r="976" spans="1:12" ht="15.75" customHeight="1">
      <c r="A976" s="908"/>
      <c r="B976" s="908"/>
      <c r="C976" s="908"/>
      <c r="D976" s="908"/>
      <c r="E976" s="908"/>
      <c r="F976" s="908"/>
      <c r="G976" s="908"/>
      <c r="H976" s="908"/>
      <c r="I976" s="908"/>
      <c r="J976" s="1016"/>
      <c r="K976" s="900"/>
      <c r="L976" s="900"/>
    </row>
    <row r="977" spans="1:12" ht="15.75" customHeight="1">
      <c r="A977" s="908"/>
      <c r="B977" s="908"/>
      <c r="C977" s="908"/>
      <c r="D977" s="908"/>
      <c r="E977" s="908"/>
      <c r="F977" s="908"/>
      <c r="G977" s="908"/>
      <c r="H977" s="908"/>
      <c r="I977" s="908"/>
      <c r="J977" s="1016"/>
      <c r="K977" s="900"/>
      <c r="L977" s="900"/>
    </row>
    <row r="978" spans="1:12" ht="15.75" customHeight="1">
      <c r="A978" s="908"/>
      <c r="B978" s="908"/>
      <c r="C978" s="908"/>
      <c r="D978" s="908"/>
      <c r="E978" s="908"/>
      <c r="F978" s="908"/>
      <c r="G978" s="908"/>
      <c r="H978" s="908"/>
      <c r="I978" s="908"/>
      <c r="J978" s="1016"/>
      <c r="K978" s="900"/>
      <c r="L978" s="900"/>
    </row>
    <row r="979" spans="1:12" ht="15.75" customHeight="1">
      <c r="A979" s="908"/>
      <c r="B979" s="908"/>
      <c r="C979" s="908"/>
      <c r="D979" s="908"/>
      <c r="E979" s="908"/>
      <c r="F979" s="908"/>
      <c r="G979" s="908"/>
      <c r="H979" s="908"/>
      <c r="I979" s="908"/>
      <c r="J979" s="1016"/>
      <c r="K979" s="900"/>
      <c r="L979" s="900"/>
    </row>
    <row r="980" spans="1:12" ht="15.75" customHeight="1">
      <c r="A980" s="908"/>
      <c r="B980" s="908"/>
      <c r="C980" s="908"/>
      <c r="D980" s="908"/>
      <c r="E980" s="908"/>
      <c r="F980" s="908"/>
      <c r="G980" s="908"/>
      <c r="H980" s="908"/>
      <c r="I980" s="908"/>
      <c r="J980" s="1016"/>
      <c r="K980" s="900"/>
      <c r="L980" s="900"/>
    </row>
    <row r="981" spans="1:12" ht="15.75" customHeight="1">
      <c r="A981" s="908"/>
      <c r="B981" s="908"/>
      <c r="C981" s="908"/>
      <c r="D981" s="908"/>
      <c r="E981" s="908"/>
      <c r="F981" s="908"/>
      <c r="G981" s="908"/>
      <c r="H981" s="908"/>
      <c r="I981" s="908"/>
      <c r="J981" s="1016"/>
      <c r="K981" s="900"/>
      <c r="L981" s="900"/>
    </row>
    <row r="982" spans="1:12" ht="15.75" customHeight="1">
      <c r="A982" s="908"/>
      <c r="B982" s="908"/>
      <c r="C982" s="908"/>
      <c r="D982" s="908"/>
      <c r="E982" s="908"/>
      <c r="F982" s="908"/>
      <c r="G982" s="908"/>
      <c r="H982" s="908"/>
      <c r="I982" s="908"/>
      <c r="J982" s="1016"/>
      <c r="K982" s="900"/>
      <c r="L982" s="900"/>
    </row>
    <row r="983" spans="1:12" ht="15.75" customHeight="1">
      <c r="A983" s="908"/>
      <c r="B983" s="908"/>
      <c r="C983" s="908"/>
      <c r="D983" s="908"/>
      <c r="E983" s="908"/>
      <c r="F983" s="908"/>
      <c r="G983" s="908"/>
      <c r="H983" s="908"/>
      <c r="I983" s="908"/>
      <c r="J983" s="1016"/>
      <c r="K983" s="900"/>
      <c r="L983" s="900"/>
    </row>
    <row r="984" spans="1:12" ht="15.75" customHeight="1">
      <c r="A984" s="908"/>
      <c r="B984" s="908"/>
      <c r="C984" s="908"/>
      <c r="D984" s="908"/>
      <c r="E984" s="908"/>
      <c r="F984" s="908"/>
      <c r="G984" s="908"/>
      <c r="H984" s="908"/>
      <c r="I984" s="908"/>
      <c r="J984" s="1016"/>
      <c r="K984" s="900"/>
      <c r="L984" s="900"/>
    </row>
    <row r="985" spans="1:12" ht="15.75" customHeight="1">
      <c r="A985" s="908"/>
      <c r="B985" s="908"/>
      <c r="C985" s="908"/>
      <c r="D985" s="908"/>
      <c r="E985" s="908"/>
      <c r="F985" s="908"/>
      <c r="G985" s="908"/>
      <c r="H985" s="908"/>
      <c r="I985" s="908"/>
      <c r="J985" s="1016"/>
      <c r="K985" s="900"/>
      <c r="L985" s="900"/>
    </row>
    <row r="986" spans="1:12" ht="15.75" customHeight="1">
      <c r="A986" s="908"/>
      <c r="B986" s="908"/>
      <c r="C986" s="908"/>
      <c r="D986" s="908"/>
      <c r="E986" s="908"/>
      <c r="F986" s="908"/>
      <c r="G986" s="908"/>
      <c r="H986" s="908"/>
      <c r="I986" s="908"/>
      <c r="J986" s="1016"/>
      <c r="K986" s="900"/>
      <c r="L986" s="900"/>
    </row>
    <row r="987" spans="1:12" ht="15.75" customHeight="1">
      <c r="A987" s="908"/>
      <c r="B987" s="908"/>
      <c r="C987" s="908"/>
      <c r="D987" s="908"/>
      <c r="E987" s="908"/>
      <c r="F987" s="908"/>
      <c r="G987" s="908"/>
      <c r="H987" s="908"/>
      <c r="I987" s="908"/>
      <c r="J987" s="1016"/>
      <c r="K987" s="900"/>
      <c r="L987" s="900"/>
    </row>
    <row r="988" spans="1:12" ht="15.75" customHeight="1">
      <c r="A988" s="908"/>
      <c r="B988" s="908"/>
      <c r="C988" s="908"/>
      <c r="D988" s="908"/>
      <c r="E988" s="908"/>
      <c r="F988" s="908"/>
      <c r="G988" s="908"/>
      <c r="H988" s="908"/>
      <c r="I988" s="908"/>
      <c r="J988" s="1016"/>
      <c r="K988" s="900"/>
      <c r="L988" s="900"/>
    </row>
    <row r="989" spans="1:12" ht="15.75" customHeight="1">
      <c r="A989" s="908"/>
      <c r="B989" s="908"/>
      <c r="C989" s="908"/>
      <c r="D989" s="908"/>
      <c r="E989" s="908"/>
      <c r="F989" s="908"/>
      <c r="G989" s="908"/>
      <c r="H989" s="908"/>
      <c r="I989" s="908"/>
      <c r="J989" s="1016"/>
      <c r="K989" s="900"/>
      <c r="L989" s="900"/>
    </row>
    <row r="990" spans="1:12" ht="15.75" customHeight="1">
      <c r="A990" s="908"/>
      <c r="B990" s="908"/>
      <c r="C990" s="908"/>
      <c r="D990" s="908"/>
      <c r="E990" s="908"/>
      <c r="F990" s="908"/>
      <c r="G990" s="908"/>
      <c r="H990" s="908"/>
      <c r="I990" s="908"/>
      <c r="J990" s="1016"/>
      <c r="K990" s="900"/>
      <c r="L990" s="900"/>
    </row>
    <row r="991" spans="1:12" ht="15.75" customHeight="1">
      <c r="A991" s="908"/>
      <c r="B991" s="908"/>
      <c r="C991" s="908"/>
      <c r="D991" s="908"/>
      <c r="E991" s="908"/>
      <c r="F991" s="908"/>
      <c r="G991" s="908"/>
      <c r="H991" s="908"/>
      <c r="I991" s="908"/>
      <c r="J991" s="1016"/>
      <c r="K991" s="900"/>
      <c r="L991" s="900"/>
    </row>
    <row r="992" spans="1:12" ht="15.75" customHeight="1">
      <c r="A992" s="908"/>
      <c r="B992" s="908"/>
      <c r="C992" s="908"/>
      <c r="D992" s="908"/>
      <c r="E992" s="908"/>
      <c r="F992" s="908"/>
      <c r="G992" s="908"/>
      <c r="H992" s="908"/>
      <c r="I992" s="908"/>
      <c r="J992" s="1016"/>
      <c r="K992" s="900"/>
      <c r="L992" s="900"/>
    </row>
    <row r="993" spans="1:12" ht="15.75" customHeight="1">
      <c r="A993" s="908"/>
      <c r="B993" s="908"/>
      <c r="C993" s="908"/>
      <c r="D993" s="908"/>
      <c r="E993" s="908"/>
      <c r="F993" s="908"/>
      <c r="G993" s="908"/>
      <c r="H993" s="908"/>
      <c r="I993" s="908"/>
      <c r="J993" s="1016"/>
      <c r="K993" s="900"/>
      <c r="L993" s="900"/>
    </row>
    <row r="994" spans="1:12" ht="15.75" customHeight="1">
      <c r="A994" s="908"/>
      <c r="B994" s="908"/>
      <c r="C994" s="908"/>
      <c r="D994" s="908"/>
      <c r="E994" s="908"/>
      <c r="F994" s="908"/>
      <c r="G994" s="908"/>
      <c r="H994" s="908"/>
      <c r="I994" s="908"/>
      <c r="J994" s="1016"/>
      <c r="K994" s="900"/>
      <c r="L994" s="900"/>
    </row>
    <row r="995" spans="1:12" ht="15.75" customHeight="1">
      <c r="A995" s="908"/>
      <c r="B995" s="908"/>
      <c r="C995" s="908"/>
      <c r="D995" s="908"/>
      <c r="E995" s="908"/>
      <c r="F995" s="908"/>
      <c r="G995" s="908"/>
      <c r="H995" s="908"/>
      <c r="I995" s="908"/>
      <c r="J995" s="1016"/>
      <c r="K995" s="900"/>
      <c r="L995" s="900"/>
    </row>
    <row r="996" spans="1:12" ht="15.75" customHeight="1">
      <c r="A996" s="908"/>
      <c r="B996" s="908"/>
      <c r="C996" s="908"/>
      <c r="D996" s="908"/>
      <c r="E996" s="908"/>
      <c r="F996" s="908"/>
      <c r="G996" s="908"/>
      <c r="H996" s="908"/>
      <c r="I996" s="908"/>
      <c r="J996" s="1016"/>
      <c r="K996" s="900"/>
      <c r="L996" s="900"/>
    </row>
  </sheetData>
  <mergeCells count="386">
    <mergeCell ref="B208:J208"/>
    <mergeCell ref="B209:J209"/>
    <mergeCell ref="I204:J204"/>
    <mergeCell ref="I205:J205"/>
    <mergeCell ref="I206:J206"/>
    <mergeCell ref="I207:J207"/>
    <mergeCell ref="B201:E201"/>
    <mergeCell ref="B202:E202"/>
    <mergeCell ref="F202:G202"/>
    <mergeCell ref="I202:J202"/>
    <mergeCell ref="B203:E203"/>
    <mergeCell ref="B204:E204"/>
    <mergeCell ref="F204:G204"/>
    <mergeCell ref="B205:E205"/>
    <mergeCell ref="F205:G205"/>
    <mergeCell ref="B206:E206"/>
    <mergeCell ref="F206:G206"/>
    <mergeCell ref="B207:G207"/>
    <mergeCell ref="B195:I195"/>
    <mergeCell ref="B196:J196"/>
    <mergeCell ref="B197:J197"/>
    <mergeCell ref="B199:J199"/>
    <mergeCell ref="B200:E200"/>
    <mergeCell ref="I200:J200"/>
    <mergeCell ref="F201:G201"/>
    <mergeCell ref="I201:J201"/>
    <mergeCell ref="I203:J203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C194:I194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C169:H169"/>
    <mergeCell ref="C170:H170"/>
    <mergeCell ref="C171:H171"/>
    <mergeCell ref="C172:H172"/>
    <mergeCell ref="C173:H173"/>
    <mergeCell ref="C174:H174"/>
    <mergeCell ref="C175:H175"/>
    <mergeCell ref="C176:H176"/>
    <mergeCell ref="B177:I177"/>
    <mergeCell ref="B159:J159"/>
    <mergeCell ref="B161:J161"/>
    <mergeCell ref="C162:H162"/>
    <mergeCell ref="B163:H163"/>
    <mergeCell ref="C164:H164"/>
    <mergeCell ref="B165:H165"/>
    <mergeCell ref="C166:H166"/>
    <mergeCell ref="B167:H167"/>
    <mergeCell ref="C168:H168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41:J141"/>
    <mergeCell ref="C142:I142"/>
    <mergeCell ref="C143:I143"/>
    <mergeCell ref="B144:I144"/>
    <mergeCell ref="B145:J145"/>
    <mergeCell ref="B146:J146"/>
    <mergeCell ref="C147:I147"/>
    <mergeCell ref="C148:I148"/>
    <mergeCell ref="C149:I149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H121"/>
    <mergeCell ref="C105:E105"/>
    <mergeCell ref="F105:H105"/>
    <mergeCell ref="C106:I106"/>
    <mergeCell ref="B107:J107"/>
    <mergeCell ref="B108:J108"/>
    <mergeCell ref="B109:J109"/>
    <mergeCell ref="B110:J110"/>
    <mergeCell ref="C111:I111"/>
    <mergeCell ref="C112:I112"/>
    <mergeCell ref="C96:G96"/>
    <mergeCell ref="C97:I97"/>
    <mergeCell ref="C98:H98"/>
    <mergeCell ref="C99:G99"/>
    <mergeCell ref="C100:G100"/>
    <mergeCell ref="C101:I101"/>
    <mergeCell ref="C102:I102"/>
    <mergeCell ref="C103:I103"/>
    <mergeCell ref="C104:I104"/>
    <mergeCell ref="B88:J88"/>
    <mergeCell ref="B89:J89"/>
    <mergeCell ref="B90:J90"/>
    <mergeCell ref="C91:I91"/>
    <mergeCell ref="C92:H92"/>
    <mergeCell ref="C93:H93"/>
    <mergeCell ref="C94:H94"/>
    <mergeCell ref="C95:E95"/>
    <mergeCell ref="F95:G95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333:J333"/>
    <mergeCell ref="B334:E334"/>
    <mergeCell ref="I334:J334"/>
    <mergeCell ref="B335:E335"/>
    <mergeCell ref="I335:J33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B323:I323"/>
    <mergeCell ref="C324:I324"/>
    <mergeCell ref="C325:I325"/>
    <mergeCell ref="C326:I326"/>
    <mergeCell ref="C327:I327"/>
    <mergeCell ref="C328:I328"/>
    <mergeCell ref="B329:I329"/>
    <mergeCell ref="C330:I330"/>
    <mergeCell ref="B331:I331"/>
    <mergeCell ref="C313:H313"/>
    <mergeCell ref="C314:H314"/>
    <mergeCell ref="C315:H315"/>
    <mergeCell ref="C316:H316"/>
    <mergeCell ref="C317:H317"/>
    <mergeCell ref="C318:H318"/>
    <mergeCell ref="C319:H319"/>
    <mergeCell ref="C320:H320"/>
    <mergeCell ref="B321:I321"/>
    <mergeCell ref="B302:B303"/>
    <mergeCell ref="C304:I304"/>
    <mergeCell ref="C306:H306"/>
    <mergeCell ref="B307:H307"/>
    <mergeCell ref="C308:H308"/>
    <mergeCell ref="B309:H309"/>
    <mergeCell ref="C310:H310"/>
    <mergeCell ref="B311:H311"/>
    <mergeCell ref="C312:H312"/>
    <mergeCell ref="C289:I289"/>
    <mergeCell ref="C290:I290"/>
    <mergeCell ref="C291:I291"/>
    <mergeCell ref="C292:I292"/>
    <mergeCell ref="B293:I293"/>
    <mergeCell ref="C294:I294"/>
    <mergeCell ref="B295:I295"/>
    <mergeCell ref="B299:J299"/>
    <mergeCell ref="C300:I300"/>
    <mergeCell ref="C277:H277"/>
    <mergeCell ref="C278:H278"/>
    <mergeCell ref="C279:H279"/>
    <mergeCell ref="B341:G341"/>
    <mergeCell ref="H341:J341"/>
    <mergeCell ref="B342:J342"/>
    <mergeCell ref="B344:E344"/>
    <mergeCell ref="B345:E345"/>
    <mergeCell ref="B346:E346"/>
    <mergeCell ref="B336:J336"/>
    <mergeCell ref="B337:G337"/>
    <mergeCell ref="H337:J337"/>
    <mergeCell ref="B338:J338"/>
    <mergeCell ref="B339:G339"/>
    <mergeCell ref="H339:J339"/>
    <mergeCell ref="B340:J340"/>
    <mergeCell ref="C280:H280"/>
    <mergeCell ref="C281:H281"/>
    <mergeCell ref="C282:H282"/>
    <mergeCell ref="C283:H283"/>
    <mergeCell ref="C284:H284"/>
    <mergeCell ref="B285:I285"/>
    <mergeCell ref="B287:I287"/>
    <mergeCell ref="C288:I288"/>
    <mergeCell ref="C250:I250"/>
    <mergeCell ref="C251:H251"/>
    <mergeCell ref="C252:I252"/>
    <mergeCell ref="C253:H253"/>
    <mergeCell ref="B254:I254"/>
    <mergeCell ref="B273:H273"/>
    <mergeCell ref="C274:H274"/>
    <mergeCell ref="B275:H275"/>
    <mergeCell ref="C276:H276"/>
    <mergeCell ref="C240:H240"/>
    <mergeCell ref="C241:H241"/>
    <mergeCell ref="C242:H242"/>
    <mergeCell ref="C243:H243"/>
    <mergeCell ref="C244:H244"/>
    <mergeCell ref="B245:H245"/>
    <mergeCell ref="B247:J247"/>
    <mergeCell ref="C248:I248"/>
    <mergeCell ref="C249:I249"/>
    <mergeCell ref="B230:J230"/>
    <mergeCell ref="C231:I231"/>
    <mergeCell ref="C232:H232"/>
    <mergeCell ref="C233:H233"/>
    <mergeCell ref="B234:I234"/>
    <mergeCell ref="C236:H236"/>
    <mergeCell ref="C237:H237"/>
    <mergeCell ref="C238:H238"/>
    <mergeCell ref="C239:D239"/>
    <mergeCell ref="B267:I267"/>
    <mergeCell ref="B269:J269"/>
    <mergeCell ref="C270:H270"/>
    <mergeCell ref="B271:H271"/>
    <mergeCell ref="C272:H272"/>
    <mergeCell ref="B210:J210"/>
    <mergeCell ref="B211:G211"/>
    <mergeCell ref="H211:J211"/>
    <mergeCell ref="B212:J212"/>
    <mergeCell ref="B213:G213"/>
    <mergeCell ref="H213:J213"/>
    <mergeCell ref="B214:J214"/>
    <mergeCell ref="B215:G215"/>
    <mergeCell ref="H215:J215"/>
    <mergeCell ref="B216:J216"/>
    <mergeCell ref="B220:J220"/>
    <mergeCell ref="C221:H221"/>
    <mergeCell ref="C222:E222"/>
    <mergeCell ref="C223:E223"/>
    <mergeCell ref="C224:E224"/>
    <mergeCell ref="C225:E225"/>
    <mergeCell ref="C226:I226"/>
    <mergeCell ref="B227:I227"/>
    <mergeCell ref="B229:J229"/>
    <mergeCell ref="B256:J256"/>
    <mergeCell ref="B259:J259"/>
    <mergeCell ref="C260:I260"/>
    <mergeCell ref="C261:G261"/>
    <mergeCell ref="C262:I262"/>
    <mergeCell ref="C263:I263"/>
    <mergeCell ref="C264:I264"/>
    <mergeCell ref="C265:I265"/>
    <mergeCell ref="C266:I266"/>
  </mergeCells>
  <conditionalFormatting sqref="I48:I50">
    <cfRule type="cellIs" dxfId="82" priority="3" operator="equal">
      <formula>0</formula>
    </cfRule>
  </conditionalFormatting>
  <conditionalFormatting sqref="I121">
    <cfRule type="cellIs" dxfId="81" priority="2" operator="notEqual">
      <formula>"OK"</formula>
    </cfRule>
  </conditionalFormatting>
  <conditionalFormatting sqref="J133">
    <cfRule type="cellIs" dxfId="80" priority="5" operator="equal">
      <formula>0</formula>
    </cfRule>
  </conditionalFormatting>
  <conditionalFormatting sqref="J261">
    <cfRule type="cellIs" dxfId="79" priority="1" operator="equal">
      <formula>0</formula>
    </cfRule>
  </conditionalFormatting>
  <printOptions horizontalCentered="1"/>
  <pageMargins left="0.19685039370078741" right="0.19685039370078741" top="0.11811023622047245" bottom="0.11811023622047245" header="0" footer="0"/>
  <pageSetup paperSize="9" scale="13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4</vt:i4>
      </vt:variant>
    </vt:vector>
  </HeadingPairs>
  <TitlesOfParts>
    <vt:vector size="25" baseType="lpstr">
      <vt:lpstr>0-INICIO</vt:lpstr>
      <vt:lpstr>CAMPUS.CONTRATANTE</vt:lpstr>
      <vt:lpstr>DADOS-CADASTRAIS</vt:lpstr>
      <vt:lpstr>1-ABA-DE-CARREGAMENTO</vt:lpstr>
      <vt:lpstr>PROPOSTA DO SERVIÇO</vt:lpstr>
      <vt:lpstr>Uniformes - EPIs_TODOS</vt:lpstr>
      <vt:lpstr>5162_20_CUIDADOR-de-ALUNOS_40h</vt:lpstr>
      <vt:lpstr>5162_20_CUIDADOR-de-ALUNOS_20h</vt:lpstr>
      <vt:lpstr>3341-05_INSTRUTOR-de-ALUNOS_40h</vt:lpstr>
      <vt:lpstr>3341-05_INSTRUTOR-de-ALUNOS_20h</vt:lpstr>
      <vt:lpstr>2394-25_PSICOPEGAGOGO_40h</vt:lpstr>
      <vt:lpstr>2394-25_PSICOPEGAGOGO_20h</vt:lpstr>
      <vt:lpstr>3341-10_MONITOR-de-ALUNOS_40h</vt:lpstr>
      <vt:lpstr>Estimativa_Horas_Diarias</vt:lpstr>
      <vt:lpstr>TOTALIZADORES_IFFar</vt:lpstr>
      <vt:lpstr>Insumos_Base</vt:lpstr>
      <vt:lpstr>A NAO TEM MAIS POSTO 66</vt:lpstr>
      <vt:lpstr>A NAO TEM MAIS POSTO 771</vt:lpstr>
      <vt:lpstr>A NAO TEM MAIS POSTO 77</vt:lpstr>
      <vt:lpstr>A NÃO TEM MAIS POSTOS-88</vt:lpstr>
      <vt:lpstr>A NÃO TEM MAIS POSTOS-99</vt:lpstr>
      <vt:lpstr>'0-INICIO'!Area_de_impressao</vt:lpstr>
      <vt:lpstr>'1-ABA-DE-CARREGAMENTO'!Area_de_impressao</vt:lpstr>
      <vt:lpstr>CAMPUS.CONTRATANTE!Area_de_impressao</vt:lpstr>
      <vt:lpstr>'DADOS-CADASTRAIS'!Area_de_impressao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Renan Perlin</cp:lastModifiedBy>
  <dcterms:modified xsi:type="dcterms:W3CDTF">2026-07-10T12:23:39Z</dcterms:modified>
</cp:coreProperties>
</file>